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521" windowWidth="14670" windowHeight="9270" activeTab="6"/>
  </bookViews>
  <sheets>
    <sheet name="Sheet1" sheetId="1" r:id="rId1"/>
    <sheet name="volume" sheetId="2" r:id="rId2"/>
    <sheet name="REKAP" sheetId="3" r:id="rId3"/>
    <sheet name="RAB" sheetId="4" r:id="rId4"/>
    <sheet name="Sheet2" sheetId="5" r:id="rId5"/>
    <sheet name="ANALISA" sheetId="6" r:id="rId6"/>
    <sheet name="Bhn" sheetId="7" r:id="rId7"/>
  </sheets>
  <definedNames>
    <definedName name="_Fill" localSheetId="6" hidden="1">'Bhn'!#REF!</definedName>
    <definedName name="_Fill" hidden="1">'RAB'!#REF!</definedName>
    <definedName name="_Key1" localSheetId="6" hidden="1">'Bhn'!#REF!</definedName>
    <definedName name="_Key1" hidden="1">'RAB'!#REF!</definedName>
    <definedName name="_Order1" hidden="1">255</definedName>
    <definedName name="_Regression_Int" localSheetId="6" hidden="1">1</definedName>
    <definedName name="_Regression_Int" localSheetId="3" hidden="1">1</definedName>
    <definedName name="KONVER_A" localSheetId="6">'Bhn'!$E$23:$N$32</definedName>
    <definedName name="KONVER_A">'RAB'!#REF!</definedName>
    <definedName name="KONVER_B" localSheetId="6">'Bhn'!$E$36:$L$159</definedName>
    <definedName name="KONVER_B">'RAB'!#REF!</definedName>
    <definedName name="KONVER_C" localSheetId="6">'Bhn'!#REF!</definedName>
    <definedName name="KONVER_C">'RAB'!#REF!</definedName>
    <definedName name="_xlnm.Print_Area" localSheetId="5">'ANALISA'!$C$2:$N$978</definedName>
    <definedName name="_xlnm.Print_Area" localSheetId="6">'Bhn'!$C$12:$N$168</definedName>
    <definedName name="_xlnm.Print_Area" localSheetId="3">'RAB'!$C$10:$N$576</definedName>
    <definedName name="_xlnm.Print_Area" localSheetId="2">'REKAP'!$C$7:$N$66</definedName>
    <definedName name="_xlnm.Print_Area" localSheetId="0">'Sheet1'!$B$4:$F$36</definedName>
    <definedName name="_xlnm.Print_Area" localSheetId="1">'volume'!$C$13:$U$740</definedName>
    <definedName name="Print_Area_MI" localSheetId="6">'Bhn'!#REF!</definedName>
    <definedName name="Print_Area_MI">'RAB'!#REF!</definedName>
    <definedName name="_xlnm.Print_Titles" localSheetId="5">'ANALISA'!$9:$11</definedName>
    <definedName name="_xlnm.Print_Titles" localSheetId="6">'Bhn'!$19:$21</definedName>
    <definedName name="_xlnm.Print_Titles" localSheetId="3">'RAB'!$17:$18</definedName>
  </definedNames>
  <calcPr fullCalcOnLoad="1"/>
</workbook>
</file>

<file path=xl/sharedStrings.xml><?xml version="1.0" encoding="utf-8"?>
<sst xmlns="http://schemas.openxmlformats.org/spreadsheetml/2006/main" count="4619" uniqueCount="1288">
  <si>
    <t xml:space="preserve"> / m2</t>
  </si>
  <si>
    <t>Politur Meubelair/melamik</t>
  </si>
  <si>
    <t xml:space="preserve">1 m' </t>
  </si>
  <si>
    <t xml:space="preserve">Engsel pintu 4" - </t>
  </si>
  <si>
    <t xml:space="preserve">Engsel jendela 3 " </t>
  </si>
  <si>
    <t>Pasang batu bata 1:5</t>
  </si>
  <si>
    <t>Plesteran 1:5</t>
  </si>
  <si>
    <t>SNI</t>
  </si>
  <si>
    <t>D</t>
  </si>
  <si>
    <t>(40 kg)</t>
  </si>
  <si>
    <t>Kayu meranti</t>
  </si>
  <si>
    <t>1 bh</t>
  </si>
  <si>
    <t>Gypsum board 9 mm</t>
  </si>
  <si>
    <t>Plafond gypsum polos 9 mm (metal furing C Chanel)</t>
  </si>
  <si>
    <t>Rangka metal furing</t>
  </si>
  <si>
    <t>Koef.</t>
  </si>
  <si>
    <t>Sat.</t>
  </si>
  <si>
    <t>Anl.</t>
  </si>
  <si>
    <t>Harga Satuan</t>
  </si>
  <si>
    <t>Harga Total</t>
  </si>
  <si>
    <t>Harga</t>
  </si>
  <si>
    <t>Uraian</t>
  </si>
  <si>
    <t>No.</t>
  </si>
  <si>
    <t>Urugan tanah kembali :</t>
  </si>
  <si>
    <t>Alat bantu</t>
  </si>
  <si>
    <t>Beton cor 1:2:3 struktur</t>
  </si>
  <si>
    <t>Beton cor 1:2:3 praktis</t>
  </si>
  <si>
    <t>Besi tulangan polos</t>
  </si>
  <si>
    <t>Cat kayu Bee brand 1000</t>
  </si>
  <si>
    <t>Beton kolom Kp</t>
  </si>
  <si>
    <t xml:space="preserve"> Listplank kayu bengkirai</t>
  </si>
  <si>
    <t>Pasang kuda-kuda baja ringan</t>
  </si>
  <si>
    <t xml:space="preserve"> $ 1 =</t>
  </si>
  <si>
    <t>Plafond Kalsiboard 4,5 mm (metal furing C Chanel)</t>
  </si>
  <si>
    <t>Kalsiboard 4,5 mm</t>
  </si>
  <si>
    <t>Cat tembok Catylac</t>
  </si>
  <si>
    <t>Kosen Alluminium silver 4 " ( Alexindo )</t>
  </si>
  <si>
    <t>Kosen Alluminium silver 3 " ( Alexindo )</t>
  </si>
  <si>
    <t>Jendela jungkit alluminium silver Alexindo</t>
  </si>
  <si>
    <t>Daun pintu alluminium silver Alexindo</t>
  </si>
  <si>
    <t>analisa</t>
  </si>
  <si>
    <t xml:space="preserve"> </t>
  </si>
  <si>
    <t>total</t>
  </si>
  <si>
    <t>Pekerja</t>
  </si>
  <si>
    <t>Rp</t>
  </si>
  <si>
    <t>/ hari.</t>
  </si>
  <si>
    <t>Mandor</t>
  </si>
  <si>
    <t>Tukang batu</t>
  </si>
  <si>
    <t>Kep. Tk. batu</t>
  </si>
  <si>
    <t>Tukang kayu</t>
  </si>
  <si>
    <t>Kep. Tk. kayu</t>
  </si>
  <si>
    <t>Tukang besi</t>
  </si>
  <si>
    <t>Kep. Tk. besi</t>
  </si>
  <si>
    <t>Tukang cat</t>
  </si>
  <si>
    <t>Kep. Tk. cat</t>
  </si>
  <si>
    <t>DAFTAR HARGA BAHAN :</t>
  </si>
  <si>
    <t>Tanah urug/padas</t>
  </si>
  <si>
    <t>/ m3.</t>
  </si>
  <si>
    <t>Pasir urug</t>
  </si>
  <si>
    <t>Sirtu</t>
  </si>
  <si>
    <t>Pasir pasang</t>
  </si>
  <si>
    <t xml:space="preserve">Pasir beton </t>
  </si>
  <si>
    <t xml:space="preserve">Batu split 2/3 pecah </t>
  </si>
  <si>
    <t>Batu belah</t>
  </si>
  <si>
    <t>Batu bata merah</t>
  </si>
  <si>
    <t>/ bh</t>
  </si>
  <si>
    <t>PC</t>
  </si>
  <si>
    <t>/ sk.</t>
  </si>
  <si>
    <t>PC warna</t>
  </si>
  <si>
    <t>Besi beton polos</t>
  </si>
  <si>
    <t>/ kg.</t>
  </si>
  <si>
    <t>Besi profil</t>
  </si>
  <si>
    <t>Paku</t>
  </si>
  <si>
    <t>Kawat bindrat</t>
  </si>
  <si>
    <t>Kaca bening 5 mm</t>
  </si>
  <si>
    <t>/ m2.</t>
  </si>
  <si>
    <t>Kaca buram 5 mm</t>
  </si>
  <si>
    <t>Kayu dolken/perancah</t>
  </si>
  <si>
    <t>/ btg.</t>
  </si>
  <si>
    <t>Kayu kanfer</t>
  </si>
  <si>
    <t>Kayu kruing</t>
  </si>
  <si>
    <t>Kayu reng jati 2/3</t>
  </si>
  <si>
    <t>/ m'</t>
  </si>
  <si>
    <t xml:space="preserve">List plafond kayu </t>
  </si>
  <si>
    <t>Grendel</t>
  </si>
  <si>
    <t>/ bh.</t>
  </si>
  <si>
    <t>Handle jendela</t>
  </si>
  <si>
    <t>Kait angin</t>
  </si>
  <si>
    <t>Triplek</t>
  </si>
  <si>
    <t>Teakwood 4 mm</t>
  </si>
  <si>
    <t>Multiplex  4 mm</t>
  </si>
  <si>
    <t>Multiplex  6 mm</t>
  </si>
  <si>
    <t>Multiplex  9 mm</t>
  </si>
  <si>
    <t>Multiplex 12 mm</t>
  </si>
  <si>
    <t>Multiplex 18 mm</t>
  </si>
  <si>
    <t>Keramik 40/40</t>
  </si>
  <si>
    <t>/ m2</t>
  </si>
  <si>
    <t>Keramik 30/30</t>
  </si>
  <si>
    <t xml:space="preserve">Keramik 20/20 </t>
  </si>
  <si>
    <t>/ m'.</t>
  </si>
  <si>
    <t>Plamer kayu</t>
  </si>
  <si>
    <t>Plamer tembok</t>
  </si>
  <si>
    <t>Meni kayu</t>
  </si>
  <si>
    <t>Minyak cat</t>
  </si>
  <si>
    <t>Ampelas</t>
  </si>
  <si>
    <t>/ lbr.</t>
  </si>
  <si>
    <t>Seng plat bjls 30</t>
  </si>
  <si>
    <t>Alluminium sheet</t>
  </si>
  <si>
    <t>Asbes plat  ( 1x1 )m</t>
  </si>
  <si>
    <t>1 m3</t>
  </si>
  <si>
    <t>Galian tanah</t>
  </si>
  <si>
    <t>Urugan tanah kembali</t>
  </si>
  <si>
    <t xml:space="preserve">Urugan tanah </t>
  </si>
  <si>
    <t xml:space="preserve">Urugan Pasir </t>
  </si>
  <si>
    <t>Pasang Aanstamping</t>
  </si>
  <si>
    <t>Pasangan bata 1:3</t>
  </si>
  <si>
    <t>1 m2</t>
  </si>
  <si>
    <t>Plesteran 1:3</t>
  </si>
  <si>
    <t>Beton 1:3:5</t>
  </si>
  <si>
    <t>Beton ring praktis</t>
  </si>
  <si>
    <t>Beton kolom praktis</t>
  </si>
  <si>
    <t>Beton plat lantai</t>
  </si>
  <si>
    <t>1 m'</t>
  </si>
  <si>
    <t>Trimdex Zingalum BJLS 40</t>
  </si>
  <si>
    <t>Paku/sekrup</t>
  </si>
  <si>
    <t>Meni besi</t>
  </si>
  <si>
    <t>Cat kayu Mowilex (3 x czt)</t>
  </si>
  <si>
    <t xml:space="preserve"> Saluran U. 30  :</t>
  </si>
  <si>
    <t>Buis beton U.30</t>
  </si>
  <si>
    <t>Pasang batu belah 1:5</t>
  </si>
  <si>
    <t>List gypsum</t>
  </si>
  <si>
    <t>Cat plafond</t>
  </si>
  <si>
    <t>1 kg</t>
  </si>
  <si>
    <t>Urugan tanah</t>
  </si>
  <si>
    <t>m3</t>
  </si>
  <si>
    <t>Urug Pasir  :</t>
  </si>
  <si>
    <t>Urugan sirtu</t>
  </si>
  <si>
    <t>sak</t>
  </si>
  <si>
    <t>Pasang Aanstamping  :</t>
  </si>
  <si>
    <t>bh</t>
  </si>
  <si>
    <t>zak</t>
  </si>
  <si>
    <t>Pasangan bata 1:3  :</t>
  </si>
  <si>
    <t>Rooster</t>
  </si>
  <si>
    <t>Plesteran 1:2  :</t>
  </si>
  <si>
    <t>5 m'</t>
  </si>
  <si>
    <t>Plesteran sudut :</t>
  </si>
  <si>
    <t xml:space="preserve"> 1 m3</t>
  </si>
  <si>
    <t>Beton 1:3:5  :</t>
  </si>
  <si>
    <t>kg</t>
  </si>
  <si>
    <t>m2</t>
  </si>
  <si>
    <t xml:space="preserve">1 m2 </t>
  </si>
  <si>
    <t>Pasang keramik 20/20</t>
  </si>
  <si>
    <t xml:space="preserve"> Pasang bubungan </t>
  </si>
  <si>
    <t>m'</t>
  </si>
  <si>
    <t>Papan ruiter</t>
  </si>
  <si>
    <t>lbr</t>
  </si>
  <si>
    <t>1 Kg</t>
  </si>
  <si>
    <t>hr</t>
  </si>
  <si>
    <t>HARGA</t>
  </si>
  <si>
    <t>ls</t>
  </si>
  <si>
    <t>Bak kontrol</t>
  </si>
  <si>
    <t>unit</t>
  </si>
  <si>
    <t>DAFTAR UPAH PEKERJA :</t>
  </si>
  <si>
    <t>List Profil</t>
  </si>
  <si>
    <t>Kayu bengkirai/pesagen</t>
  </si>
  <si>
    <t>Kayu bengkirai/papan</t>
  </si>
  <si>
    <t xml:space="preserve">Plesteran sudut                      </t>
  </si>
  <si>
    <t xml:space="preserve"> Pasang genteng keramik</t>
  </si>
  <si>
    <t>/ m3</t>
  </si>
  <si>
    <t>kg/m3</t>
  </si>
  <si>
    <t>Sealent kaca</t>
  </si>
  <si>
    <t>Sealent tembok</t>
  </si>
  <si>
    <t>Bekisting untuk sloof</t>
  </si>
  <si>
    <t>Minyak bekisting</t>
  </si>
  <si>
    <t>Bekisting untuk kolom</t>
  </si>
  <si>
    <t>Kayu tahun balok ( 4 m)</t>
  </si>
  <si>
    <t>btg</t>
  </si>
  <si>
    <t>lt</t>
  </si>
  <si>
    <t>Bekisting untuk balok</t>
  </si>
  <si>
    <t>Bekisting untuk plat lantai</t>
  </si>
  <si>
    <t>Plint alluminium</t>
  </si>
  <si>
    <t>Daun pintu PVC</t>
  </si>
  <si>
    <t>Kosen Steinles steel 4"</t>
  </si>
  <si>
    <t>Kunci tanam 2x putar SES</t>
  </si>
  <si>
    <t>/ stel</t>
  </si>
  <si>
    <t>Espagnolete / grendel pintu</t>
  </si>
  <si>
    <t xml:space="preserve">Beton kolom praktis  </t>
  </si>
  <si>
    <t xml:space="preserve">Beton sloof praktis  </t>
  </si>
  <si>
    <t>B</t>
  </si>
  <si>
    <t>C</t>
  </si>
  <si>
    <t>Lem vinyl</t>
  </si>
  <si>
    <t>Cat kayu Mowilex</t>
  </si>
  <si>
    <t>Cat besi Mowilex</t>
  </si>
  <si>
    <t>Beton ring praktis Rp</t>
  </si>
  <si>
    <t>Beton plat atap</t>
  </si>
  <si>
    <t>A081</t>
  </si>
  <si>
    <t>Wood filer (INFRA)</t>
  </si>
  <si>
    <t>Melamik</t>
  </si>
  <si>
    <t>Oker putih</t>
  </si>
  <si>
    <t>Oker warna</t>
  </si>
  <si>
    <t>Batu apung</t>
  </si>
  <si>
    <t>Kuas 3"</t>
  </si>
  <si>
    <t>Spirtus</t>
  </si>
  <si>
    <t>ltr</t>
  </si>
  <si>
    <t>Jasa</t>
  </si>
  <si>
    <t>Pajak</t>
  </si>
  <si>
    <t>Asahi</t>
  </si>
  <si>
    <t>Dempul plitur</t>
  </si>
  <si>
    <t xml:space="preserve">Sirlak </t>
  </si>
  <si>
    <t>Beton bertulang polos :</t>
  </si>
  <si>
    <t>/ unit</t>
  </si>
  <si>
    <t>Genteng keramik M-Class</t>
  </si>
  <si>
    <t>Nok/bubungan keramik M-Class</t>
  </si>
  <si>
    <t>Pasang Batu Belah 1:5  :</t>
  </si>
  <si>
    <t>Galian tanah biasa sedalam 1 m':</t>
  </si>
  <si>
    <t>Galian tanah biasa sedalam 3 m':</t>
  </si>
  <si>
    <t>Galian tanah biasa sedalam 1 m'</t>
  </si>
  <si>
    <t>Galian tanah biasa sedalam 3 m'</t>
  </si>
  <si>
    <t>Saluran U.20</t>
  </si>
  <si>
    <t>A</t>
  </si>
  <si>
    <t>Papan bekesting meranti campur</t>
  </si>
  <si>
    <t>Kayu sengon papan</t>
  </si>
  <si>
    <t>Bambu ori</t>
  </si>
  <si>
    <t>pajak 10 %</t>
  </si>
  <si>
    <t xml:space="preserve"> jasa+pjk</t>
  </si>
  <si>
    <t>JUMLAH</t>
  </si>
  <si>
    <t>DIBULAT</t>
  </si>
  <si>
    <t>KAN</t>
  </si>
  <si>
    <t xml:space="preserve">JASA </t>
  </si>
  <si>
    <t>PPN</t>
  </si>
  <si>
    <t>DASAR</t>
  </si>
  <si>
    <t xml:space="preserve">HARGA </t>
  </si>
  <si>
    <t>6 cm mesin</t>
  </si>
  <si>
    <t>Kayu dolken 8 - 10 cm</t>
  </si>
  <si>
    <t>Kayu lanan terentang</t>
  </si>
  <si>
    <t>Kayu lanan balok</t>
  </si>
  <si>
    <t>koef.</t>
  </si>
  <si>
    <t xml:space="preserve"> / lt</t>
  </si>
  <si>
    <t xml:space="preserve"> / kg</t>
  </si>
  <si>
    <t xml:space="preserve"> / bh</t>
  </si>
  <si>
    <t>Kaca rayban 5 mm</t>
  </si>
  <si>
    <t>Cat tembok Dulux Weathershield</t>
  </si>
  <si>
    <t>Alkali</t>
  </si>
  <si>
    <t>ANALISA BETON</t>
  </si>
  <si>
    <t>Pasang Daun pintu PVC</t>
  </si>
  <si>
    <t>Kaca warna 5 mm</t>
  </si>
  <si>
    <t>Kaca tempered 12 mm</t>
  </si>
  <si>
    <t>Kunci tanam 2x putar Tesa</t>
  </si>
  <si>
    <t>Kaca bening 12 mm</t>
  </si>
  <si>
    <t>Pasang engsel pintu</t>
  </si>
  <si>
    <t>Keramik Tekstur 30/30</t>
  </si>
  <si>
    <t>Glasswool,alluminium foil,wire mesh</t>
  </si>
  <si>
    <t>Glasswool</t>
  </si>
  <si>
    <t>Alluminium foil</t>
  </si>
  <si>
    <t>Wire mesh</t>
  </si>
  <si>
    <t>ANALISA KOSEN</t>
  </si>
  <si>
    <t>BV</t>
  </si>
  <si>
    <t>Partisi</t>
  </si>
  <si>
    <t>Lemkra</t>
  </si>
  <si>
    <t>Sandblasting kaca</t>
  </si>
  <si>
    <t xml:space="preserve">  / m2</t>
  </si>
  <si>
    <t>a</t>
  </si>
  <si>
    <t>b</t>
  </si>
  <si>
    <t>c</t>
  </si>
  <si>
    <t>d</t>
  </si>
  <si>
    <t>e</t>
  </si>
  <si>
    <t>f</t>
  </si>
  <si>
    <t>Seng gelombang BJLS 0.3-180 cm</t>
  </si>
  <si>
    <t>Jendela BV</t>
  </si>
  <si>
    <t>NO.</t>
  </si>
  <si>
    <t>URAIAN PEKERJAAN</t>
  </si>
  <si>
    <t>SAT.</t>
  </si>
  <si>
    <t>VOLUME</t>
  </si>
  <si>
    <t>HARGA SAT.</t>
  </si>
  <si>
    <t>TOTAL HARGA</t>
  </si>
  <si>
    <t>( Rp )</t>
  </si>
  <si>
    <t>PEKERJAAN PERSIAPAN</t>
  </si>
  <si>
    <t>Pengukuran dan pemasangan bouwplank</t>
  </si>
  <si>
    <t>Ls</t>
  </si>
  <si>
    <t>Papan Nama proyek</t>
  </si>
  <si>
    <t>Foto proyek 3 fase (warna)</t>
  </si>
  <si>
    <t>Air kerja</t>
  </si>
  <si>
    <t>Listrik kerja</t>
  </si>
  <si>
    <t>Pembersihan lahan</t>
  </si>
  <si>
    <t>pondasi batu belah</t>
  </si>
  <si>
    <t>bawah pondasi</t>
  </si>
  <si>
    <t>Beton sloof praktis Sp (1:2:3)</t>
  </si>
  <si>
    <t>Beton balok lateu</t>
  </si>
  <si>
    <t>LANTAI 01</t>
  </si>
  <si>
    <t>LANTAI 02</t>
  </si>
  <si>
    <t>PEKERJAAN PASANGAN DAN PLESTERAN</t>
  </si>
  <si>
    <t>Bak kontrol saluran</t>
  </si>
  <si>
    <t xml:space="preserve"> + perapihan</t>
  </si>
  <si>
    <t xml:space="preserve"> +aci</t>
  </si>
  <si>
    <t>keliling bangunan</t>
  </si>
  <si>
    <t>PEKERJAAN LANTAI / PELAPIS DINDING</t>
  </si>
  <si>
    <t>bawah lantai</t>
  </si>
  <si>
    <t>(lantai kerja keramik 8 cm)</t>
  </si>
  <si>
    <t>PEKERJAAN KOSEN, PENGGANTUNG DLL.</t>
  </si>
  <si>
    <t>PEKERJAAN PLAFOND</t>
  </si>
  <si>
    <t>ruang</t>
  </si>
  <si>
    <t>Pasang list tepi</t>
  </si>
  <si>
    <t>tritisan</t>
  </si>
  <si>
    <t>PEKERJAAN CAT-CATAN</t>
  </si>
  <si>
    <t>kalsiboard</t>
  </si>
  <si>
    <t>PEKERJAAN LAIN-LAIN</t>
  </si>
  <si>
    <t>Jumlah</t>
  </si>
  <si>
    <t>Dibulatkan</t>
  </si>
  <si>
    <t>Pasang Plafond kalsiboard 4,5 mm (metalfuring + C Chanel)</t>
  </si>
  <si>
    <t>E</t>
  </si>
  <si>
    <t>BEGEL</t>
  </si>
  <si>
    <t>JARAK</t>
  </si>
  <si>
    <t>JML</t>
  </si>
  <si>
    <t>5+10</t>
  </si>
  <si>
    <t>7,5+10</t>
  </si>
  <si>
    <t>10+15</t>
  </si>
  <si>
    <t>12,5+20</t>
  </si>
  <si>
    <t>10+20</t>
  </si>
  <si>
    <t>15+20</t>
  </si>
  <si>
    <t>UKURAN</t>
  </si>
  <si>
    <t>TULANGAN</t>
  </si>
  <si>
    <t>JML. BEGEL</t>
  </si>
  <si>
    <t>BERAT</t>
  </si>
  <si>
    <t>TIPE</t>
  </si>
  <si>
    <t>H</t>
  </si>
  <si>
    <t>P</t>
  </si>
  <si>
    <t>UNIT</t>
  </si>
  <si>
    <t>JMLH</t>
  </si>
  <si>
    <t>TOTAL</t>
  </si>
  <si>
    <t>D.16</t>
  </si>
  <si>
    <t>O.12</t>
  </si>
  <si>
    <t>O.10</t>
  </si>
  <si>
    <t>O.8</t>
  </si>
  <si>
    <t>RERATA</t>
  </si>
  <si>
    <t>KG/M3</t>
  </si>
  <si>
    <t>m</t>
  </si>
  <si>
    <t>1 Lt.</t>
  </si>
  <si>
    <t>KG</t>
  </si>
  <si>
    <t>Kp</t>
  </si>
  <si>
    <t>KOLOM LANTAI 01</t>
  </si>
  <si>
    <t>Sloof</t>
  </si>
  <si>
    <t>PANJANG</t>
  </si>
  <si>
    <t>M3</t>
  </si>
  <si>
    <t>M</t>
  </si>
  <si>
    <t>I</t>
  </si>
  <si>
    <t>H -</t>
  </si>
  <si>
    <t>Vol. Btn</t>
  </si>
  <si>
    <t>Luas</t>
  </si>
  <si>
    <t xml:space="preserve">Luas </t>
  </si>
  <si>
    <t>tbl plat</t>
  </si>
  <si>
    <t xml:space="preserve"> / m'</t>
  </si>
  <si>
    <t xml:space="preserve"> / m3</t>
  </si>
  <si>
    <t>e = b x c</t>
  </si>
  <si>
    <t>h= g / e</t>
  </si>
  <si>
    <t>g=(b+c)*2</t>
  </si>
  <si>
    <t xml:space="preserve">JENIS </t>
  </si>
  <si>
    <t>BATANG</t>
  </si>
  <si>
    <t>PROFIL</t>
  </si>
  <si>
    <t>2.L / O</t>
  </si>
  <si>
    <t>L = m'</t>
  </si>
  <si>
    <t>N</t>
  </si>
  <si>
    <t xml:space="preserve"> / M'</t>
  </si>
  <si>
    <t>f=cxdxe</t>
  </si>
  <si>
    <t>g</t>
  </si>
  <si>
    <t>h</t>
  </si>
  <si>
    <t>REKAPITULASI</t>
  </si>
  <si>
    <t>RUANG</t>
  </si>
  <si>
    <t>UKUR</t>
  </si>
  <si>
    <t>LUAS</t>
  </si>
  <si>
    <t>AN</t>
  </si>
  <si>
    <t>M'</t>
  </si>
  <si>
    <t>M2</t>
  </si>
  <si>
    <t xml:space="preserve">e </t>
  </si>
  <si>
    <t>g = e x f</t>
  </si>
  <si>
    <t>e = (b+c)/2xd</t>
  </si>
  <si>
    <t>PENUTUP ATAP/GENTENG</t>
  </si>
  <si>
    <t>GORDING</t>
  </si>
  <si>
    <t>USUK 5/7, RENG 2/3</t>
  </si>
  <si>
    <t>BUBUNGAN GENTENG</t>
  </si>
  <si>
    <t>LISTPLANK</t>
  </si>
  <si>
    <t xml:space="preserve">UKURAN </t>
  </si>
  <si>
    <t xml:space="preserve"> RUANG</t>
  </si>
  <si>
    <t>panjang</t>
  </si>
  <si>
    <t>lebar</t>
  </si>
  <si>
    <t>e = c x d</t>
  </si>
  <si>
    <t>KERAMIK</t>
  </si>
  <si>
    <t>PLAFOND</t>
  </si>
  <si>
    <t>e = (c+d)x2</t>
  </si>
  <si>
    <t>KOSEN</t>
  </si>
  <si>
    <t>m2 / m'</t>
  </si>
  <si>
    <t>h = tot. g</t>
  </si>
  <si>
    <t>J 1</t>
  </si>
  <si>
    <t>kusen</t>
  </si>
  <si>
    <t>luas lubang</t>
  </si>
  <si>
    <t>plat leufel</t>
  </si>
  <si>
    <t>balok lateu</t>
  </si>
  <si>
    <t>allumn.</t>
  </si>
  <si>
    <t>kaca bening 5 mm</t>
  </si>
  <si>
    <t>LT. 01</t>
  </si>
  <si>
    <t>VOL</t>
  </si>
  <si>
    <t>LUBANG</t>
  </si>
  <si>
    <t xml:space="preserve">LUAS </t>
  </si>
  <si>
    <t xml:space="preserve"> / AS</t>
  </si>
  <si>
    <t>tinggi</t>
  </si>
  <si>
    <t>KUSEN</t>
  </si>
  <si>
    <t>BERSIH</t>
  </si>
  <si>
    <t>d = b x c</t>
  </si>
  <si>
    <t>f = d - e</t>
  </si>
  <si>
    <t xml:space="preserve">g </t>
  </si>
  <si>
    <t>h = f x g</t>
  </si>
  <si>
    <t>PASANGAN BATA DAN PLESTERAN</t>
  </si>
  <si>
    <t xml:space="preserve">CAT </t>
  </si>
  <si>
    <t>CAT</t>
  </si>
  <si>
    <t>DALAM</t>
  </si>
  <si>
    <t>LUAR</t>
  </si>
  <si>
    <t>tebal plat</t>
  </si>
  <si>
    <t>tebal balok</t>
  </si>
  <si>
    <t>PASANGAN 1:3</t>
  </si>
  <si>
    <t xml:space="preserve">Atas lantai </t>
  </si>
  <si>
    <t>30 cm</t>
  </si>
  <si>
    <t>PASANGAN BATA 1:5</t>
  </si>
  <si>
    <t>PLESTERAN 1:3</t>
  </si>
  <si>
    <t>PLESTERAN 1:5</t>
  </si>
  <si>
    <t>PLESTERAN KOLOM</t>
  </si>
  <si>
    <t>PONDASI BATU BELAH</t>
  </si>
  <si>
    <t>AANSTAMPING</t>
  </si>
  <si>
    <t>GALIAN</t>
  </si>
  <si>
    <t>URUGAN PASIR</t>
  </si>
  <si>
    <t>URUG KEMBALI</t>
  </si>
  <si>
    <t>BALOK LATEU</t>
  </si>
  <si>
    <t>PLAT LEUFEL</t>
  </si>
  <si>
    <t>CAT MOWILEX</t>
  </si>
  <si>
    <t>D.25</t>
  </si>
  <si>
    <t>Ring balok</t>
  </si>
  <si>
    <t>D.19</t>
  </si>
  <si>
    <t>Konsol beton</t>
  </si>
  <si>
    <t xml:space="preserve"> PONDASI FOOT PLAT</t>
  </si>
  <si>
    <t>lt kerja</t>
  </si>
  <si>
    <t>pasir</t>
  </si>
  <si>
    <t>berat</t>
  </si>
  <si>
    <t xml:space="preserve">Bekisting </t>
  </si>
  <si>
    <t>Balok</t>
  </si>
  <si>
    <t>Kolom</t>
  </si>
  <si>
    <t>Foot plat</t>
  </si>
  <si>
    <t>Lantai 01</t>
  </si>
  <si>
    <t xml:space="preserve">lantai 01 </t>
  </si>
  <si>
    <t>List tepi plafond</t>
  </si>
  <si>
    <t>Plint Keramik</t>
  </si>
  <si>
    <t>J1</t>
  </si>
  <si>
    <t>PJ1</t>
  </si>
  <si>
    <t>PJ2</t>
  </si>
  <si>
    <t>lateu</t>
  </si>
  <si>
    <t>BARU</t>
  </si>
  <si>
    <t>IKATAN ANGIN O.16</t>
  </si>
  <si>
    <t>O.16</t>
  </si>
  <si>
    <t>SP</t>
  </si>
  <si>
    <t>RP</t>
  </si>
  <si>
    <t>Balok lateu</t>
  </si>
  <si>
    <t>Lateu</t>
  </si>
  <si>
    <t>galian</t>
  </si>
  <si>
    <t>Panil alluminium</t>
  </si>
  <si>
    <t>ttk</t>
  </si>
  <si>
    <t>IMB 6%o</t>
  </si>
  <si>
    <t>Pasang Papan ruiter kayu bengkirai</t>
  </si>
  <si>
    <t>Trekstang O.10</t>
  </si>
  <si>
    <t>(Daun pintu, jendela lengkap terpasang)</t>
  </si>
  <si>
    <t>10 m2</t>
  </si>
  <si>
    <t>lt.01</t>
  </si>
  <si>
    <t>Urugan pasir bawah lantai 5 cm</t>
  </si>
  <si>
    <t>muntilan</t>
  </si>
  <si>
    <t>RENCANA ANGGARAN BIAYA</t>
  </si>
  <si>
    <t>P1</t>
  </si>
  <si>
    <t>P2</t>
  </si>
  <si>
    <t>P3</t>
  </si>
  <si>
    <t>P4</t>
  </si>
  <si>
    <t>P5</t>
  </si>
  <si>
    <t>S1</t>
  </si>
  <si>
    <t>s1</t>
  </si>
  <si>
    <t>12x20</t>
  </si>
  <si>
    <t>KAKI KOLOM</t>
  </si>
  <si>
    <t>R1</t>
  </si>
  <si>
    <t>Pasang Listplank kayu bengkirai 3/20</t>
  </si>
  <si>
    <t>PEKERJAAN</t>
  </si>
  <si>
    <t>LOKASI</t>
  </si>
  <si>
    <t>TAHUN</t>
  </si>
  <si>
    <t>IWF. 400.200.8.13</t>
  </si>
  <si>
    <t>IWF. 350.175.7.11</t>
  </si>
  <si>
    <t>IWF. 150.75.5.7</t>
  </si>
  <si>
    <t>C. 150.65.20.2,3</t>
  </si>
  <si>
    <t>40x40</t>
  </si>
  <si>
    <t>teras depan</t>
  </si>
  <si>
    <t>20x20</t>
  </si>
  <si>
    <t>20x25</t>
  </si>
  <si>
    <t>Stop kontak</t>
  </si>
  <si>
    <t>Saklar tunggal</t>
  </si>
  <si>
    <t>Saklar seri/ganda</t>
  </si>
  <si>
    <t>II</t>
  </si>
  <si>
    <t>III</t>
  </si>
  <si>
    <t>Pilot lamp + fuse</t>
  </si>
  <si>
    <t>Arde / pentanahan</t>
  </si>
  <si>
    <t>IV</t>
  </si>
  <si>
    <t>PEKERJAAN KABEL</t>
  </si>
  <si>
    <t>V</t>
  </si>
  <si>
    <t>VI</t>
  </si>
  <si>
    <t>VII</t>
  </si>
  <si>
    <t>PEKERJAAN TELEPONE</t>
  </si>
  <si>
    <t>Lampu SL 18 watt</t>
  </si>
  <si>
    <t>F</t>
  </si>
  <si>
    <t>PEKERJAAN MEKANIKAL ELEKTRIKAL</t>
  </si>
  <si>
    <t>gypsum</t>
  </si>
  <si>
    <t>drop ceiling</t>
  </si>
  <si>
    <t>KA</t>
  </si>
  <si>
    <t>KB</t>
  </si>
  <si>
    <t>f = b + 2d</t>
  </si>
  <si>
    <t>g= f / e</t>
  </si>
  <si>
    <t>pemakaian</t>
  </si>
  <si>
    <t>Rekapitulasi</t>
  </si>
  <si>
    <t>lantai 01</t>
  </si>
  <si>
    <t>stepnozing</t>
  </si>
  <si>
    <t>rabat kell</t>
  </si>
  <si>
    <t>20x20 lav</t>
  </si>
  <si>
    <t xml:space="preserve">Keramik tekstur 20/20 </t>
  </si>
  <si>
    <t>Pasang keramik tekstur 20/20</t>
  </si>
  <si>
    <t>Pasang keramik dinding 20/25</t>
  </si>
  <si>
    <t xml:space="preserve">Keramik  20/25 </t>
  </si>
  <si>
    <t>drop</t>
  </si>
  <si>
    <t>Beton bingkai</t>
  </si>
  <si>
    <t>kaca 12 mm clear brown</t>
  </si>
  <si>
    <t>floor hinges dorma</t>
  </si>
  <si>
    <t>handel stainless</t>
  </si>
  <si>
    <t>kunci</t>
  </si>
  <si>
    <t>lubang</t>
  </si>
  <si>
    <t>kosen allm</t>
  </si>
  <si>
    <t>Daun pintu allm</t>
  </si>
  <si>
    <t>daun BV</t>
  </si>
  <si>
    <t>J2</t>
  </si>
  <si>
    <t>dn jdl</t>
  </si>
  <si>
    <t>J3</t>
  </si>
  <si>
    <t>BV1</t>
  </si>
  <si>
    <t>J4</t>
  </si>
  <si>
    <t>P6</t>
  </si>
  <si>
    <t>12X20</t>
  </si>
  <si>
    <t>Ornamen atap</t>
  </si>
  <si>
    <t>Pasang floorhinges setara Dorma</t>
  </si>
  <si>
    <t>Pasang kosen P 1</t>
  </si>
  <si>
    <t>Pasang kosen P 2</t>
  </si>
  <si>
    <t>Pasang kosen P 3</t>
  </si>
  <si>
    <t>Pasang kosen P 5</t>
  </si>
  <si>
    <t>Pasang kosen P 6</t>
  </si>
  <si>
    <t>Pasang urinoir Pot UM 57</t>
  </si>
  <si>
    <t>Pasang kran air</t>
  </si>
  <si>
    <t>Pasang sekat urinoir</t>
  </si>
  <si>
    <t>R.tunggu plgn</t>
  </si>
  <si>
    <t>Coun pelayanan</t>
  </si>
  <si>
    <t>Costm service</t>
  </si>
  <si>
    <t>r.pengaduan</t>
  </si>
  <si>
    <t>r. AII</t>
  </si>
  <si>
    <t>r. server</t>
  </si>
  <si>
    <t>r x</t>
  </si>
  <si>
    <t>r rapat</t>
  </si>
  <si>
    <t>r. manager</t>
  </si>
  <si>
    <t>lav</t>
  </si>
  <si>
    <t>ddg</t>
  </si>
  <si>
    <t>pel plng 2</t>
  </si>
  <si>
    <t>rek.dll</t>
  </si>
  <si>
    <t>penagihan</t>
  </si>
  <si>
    <t>adm.keu</t>
  </si>
  <si>
    <t>serbaguna</t>
  </si>
  <si>
    <t>dpr</t>
  </si>
  <si>
    <t>gdg alat</t>
  </si>
  <si>
    <t>r. panel</t>
  </si>
  <si>
    <t>lav 01/dpn</t>
  </si>
  <si>
    <t>lav.02 / blk</t>
  </si>
  <si>
    <t>teras smpg 01</t>
  </si>
  <si>
    <t>teras smpg 02</t>
  </si>
  <si>
    <t>teras smpg 03</t>
  </si>
  <si>
    <t>10 cm</t>
  </si>
  <si>
    <t>rabat keliling</t>
  </si>
  <si>
    <t>Kalsiboard</t>
  </si>
  <si>
    <t>G</t>
  </si>
  <si>
    <t>I '</t>
  </si>
  <si>
    <t>E - F</t>
  </si>
  <si>
    <t>F - G</t>
  </si>
  <si>
    <t>I - J</t>
  </si>
  <si>
    <t>J</t>
  </si>
  <si>
    <t>L '</t>
  </si>
  <si>
    <t>O</t>
  </si>
  <si>
    <t>Q</t>
  </si>
  <si>
    <t>R</t>
  </si>
  <si>
    <t xml:space="preserve"> 8 - 9 </t>
  </si>
  <si>
    <t>15/50</t>
  </si>
  <si>
    <t>kosen allum</t>
  </si>
  <si>
    <t>4"</t>
  </si>
  <si>
    <t>kaca 5 mm clear brown</t>
  </si>
  <si>
    <t xml:space="preserve">MDF </t>
  </si>
  <si>
    <t>cat duco</t>
  </si>
  <si>
    <t>Kaca clear brw 5 mm</t>
  </si>
  <si>
    <t>MDF duco</t>
  </si>
  <si>
    <t>Daun pintu MDF</t>
  </si>
  <si>
    <t>engsel</t>
  </si>
  <si>
    <t>Daun pintu kaca</t>
  </si>
  <si>
    <t>lapis MDF profil kayu</t>
  </si>
  <si>
    <t>P7</t>
  </si>
  <si>
    <t>P9</t>
  </si>
  <si>
    <t>P8</t>
  </si>
  <si>
    <t>Kaca grey 5 mm</t>
  </si>
  <si>
    <t>Kaca grey 8 mm</t>
  </si>
  <si>
    <t>kaca grey 5 mm</t>
  </si>
  <si>
    <t>BV2</t>
  </si>
  <si>
    <t>A-A</t>
  </si>
  <si>
    <t>B-B</t>
  </si>
  <si>
    <t>C-C</t>
  </si>
  <si>
    <t>D-D</t>
  </si>
  <si>
    <t>TALANG DATAR</t>
  </si>
  <si>
    <t>PEKERJAAN POS JAGA</t>
  </si>
  <si>
    <t>Ruiter</t>
  </si>
  <si>
    <t>finish semen</t>
  </si>
  <si>
    <t>Pasang lapis dinding Batu candi serit</t>
  </si>
  <si>
    <t>Pasang kosen P 4</t>
  </si>
  <si>
    <t>kunci pintu</t>
  </si>
  <si>
    <t>Pasang kosen P 7</t>
  </si>
  <si>
    <t>PEKERJAAN BANGUNAN UTAMA</t>
  </si>
  <si>
    <t>PEKERJAAN PAGAR</t>
  </si>
  <si>
    <t>PEKERJAAN HALAMAN</t>
  </si>
  <si>
    <t>SALURAN IRIGASI</t>
  </si>
  <si>
    <t>-</t>
  </si>
  <si>
    <t>TIANG BENDERA</t>
  </si>
  <si>
    <t>PEKERJAAN PENUTUP ATAP</t>
  </si>
  <si>
    <t>PEKERJAAN PONDASI</t>
  </si>
  <si>
    <t>PEKERJAAN BETON</t>
  </si>
  <si>
    <t>BV 1</t>
  </si>
  <si>
    <t>BV 2</t>
  </si>
  <si>
    <t>Pasang kloset jongkok</t>
  </si>
  <si>
    <t>b1</t>
  </si>
  <si>
    <t>b2</t>
  </si>
  <si>
    <t>b3</t>
  </si>
  <si>
    <t>KOLOM</t>
  </si>
  <si>
    <t>K1</t>
  </si>
  <si>
    <t>K2</t>
  </si>
  <si>
    <t>K3</t>
  </si>
  <si>
    <t>K4</t>
  </si>
  <si>
    <t>Sp</t>
  </si>
  <si>
    <t>KP</t>
  </si>
  <si>
    <t>SLOOF</t>
  </si>
  <si>
    <t>RING BALOK</t>
  </si>
  <si>
    <t>LATEU</t>
  </si>
  <si>
    <t>LEUFEL</t>
  </si>
  <si>
    <t>Beton plat atap/ leufel</t>
  </si>
  <si>
    <t>LIST TEPI</t>
  </si>
  <si>
    <t>batu lapis dinding / serit</t>
  </si>
  <si>
    <t>MUSHOLA</t>
  </si>
  <si>
    <t>P1- PJg</t>
  </si>
  <si>
    <t>P1- Mshl</t>
  </si>
  <si>
    <t>Rel geser</t>
  </si>
  <si>
    <t xml:space="preserve">TALANG </t>
  </si>
  <si>
    <t>Beton talang</t>
  </si>
  <si>
    <t>40X40</t>
  </si>
  <si>
    <t>20X20</t>
  </si>
  <si>
    <t>20X25</t>
  </si>
  <si>
    <t>J1 - Pjg</t>
  </si>
  <si>
    <t>J2 - Pjg</t>
  </si>
  <si>
    <t>SALURAN PENGAIRAN</t>
  </si>
  <si>
    <t>pas batu</t>
  </si>
  <si>
    <t>plesteran</t>
  </si>
  <si>
    <t>alt 01</t>
  </si>
  <si>
    <t>alt 02</t>
  </si>
  <si>
    <t>pot C-C</t>
  </si>
  <si>
    <t>pot B-B</t>
  </si>
  <si>
    <t>plat beton</t>
  </si>
  <si>
    <t>ram/grill</t>
  </si>
  <si>
    <t>BETON PLAT TUTUP SALURAN LEBAR 1,60 M - TEBAL 20 CM</t>
  </si>
  <si>
    <t xml:space="preserve">Jembatan </t>
  </si>
  <si>
    <t>Taman</t>
  </si>
  <si>
    <t>TIPE 01 - POT B-B</t>
  </si>
  <si>
    <t>TIPE 02 - POT C-C</t>
  </si>
  <si>
    <t>URUGAN TANAH HALAMAN</t>
  </si>
  <si>
    <t xml:space="preserve">URUGAN HALAMAN </t>
  </si>
  <si>
    <t>Luas halaman</t>
  </si>
  <si>
    <t>PENUTUP HALAMAN</t>
  </si>
  <si>
    <t>penutup halaman</t>
  </si>
  <si>
    <t>PV abu-abu</t>
  </si>
  <si>
    <t>PV merah</t>
  </si>
  <si>
    <t>Batu koral</t>
  </si>
  <si>
    <t>Taman tengah</t>
  </si>
  <si>
    <t>Lansteen</t>
  </si>
  <si>
    <t>Rabat beton</t>
  </si>
  <si>
    <t>Pasang Kansteen beton</t>
  </si>
  <si>
    <t>PAGAR DEPAN</t>
  </si>
  <si>
    <t>PAGAR</t>
  </si>
  <si>
    <t>PILAR</t>
  </si>
  <si>
    <t>bt belah</t>
  </si>
  <si>
    <t>aanstmp</t>
  </si>
  <si>
    <t>psr urug</t>
  </si>
  <si>
    <t>beton lampu</t>
  </si>
  <si>
    <t>sloof</t>
  </si>
  <si>
    <t>rollag bata</t>
  </si>
  <si>
    <t>cat tembok</t>
  </si>
  <si>
    <t>inst listrik</t>
  </si>
  <si>
    <t>pgr besi</t>
  </si>
  <si>
    <t>=</t>
  </si>
  <si>
    <t>Sumur pantek</t>
  </si>
  <si>
    <t>TIPE - A</t>
  </si>
  <si>
    <t>galisn</t>
  </si>
  <si>
    <t>kolom</t>
  </si>
  <si>
    <t>ring balok</t>
  </si>
  <si>
    <t>pas bata</t>
  </si>
  <si>
    <t>TIPE - B</t>
  </si>
  <si>
    <t>tinggi - 2 m</t>
  </si>
  <si>
    <t>PAGAR SAMPING &amp; BELAKANG</t>
  </si>
  <si>
    <t>PAGAR SAMPING DAN BELAKANG</t>
  </si>
  <si>
    <t>CAR PORT</t>
  </si>
  <si>
    <t>aanstamping</t>
  </si>
  <si>
    <t>batu tempel</t>
  </si>
  <si>
    <t>kuda2 baja</t>
  </si>
  <si>
    <t>O. 4"</t>
  </si>
  <si>
    <t>4,5 mm</t>
  </si>
  <si>
    <t>buhul dll</t>
  </si>
  <si>
    <t>gording</t>
  </si>
  <si>
    <t>O.4"</t>
  </si>
  <si>
    <t>atap/asbes</t>
  </si>
  <si>
    <t>cay besi</t>
  </si>
  <si>
    <t>Counter Pelayanan Pelanggan</t>
  </si>
  <si>
    <t>Jumlah sub V - pekerjaan pagar</t>
  </si>
  <si>
    <t>COUNTER PELAYANAN PELANGGAN</t>
  </si>
  <si>
    <t>Pasang lapis kayu</t>
  </si>
  <si>
    <t>Meja Counter</t>
  </si>
  <si>
    <t>Plat atap 10 cm</t>
  </si>
  <si>
    <t>B1</t>
  </si>
  <si>
    <t>B2</t>
  </si>
  <si>
    <t>B3</t>
  </si>
  <si>
    <t>leufel</t>
  </si>
  <si>
    <t>Leufel</t>
  </si>
  <si>
    <t>granit tile</t>
  </si>
  <si>
    <t>50x50</t>
  </si>
  <si>
    <t>teras</t>
  </si>
  <si>
    <t>Pasang granit tile</t>
  </si>
  <si>
    <t>Partisi calciboard rangka stud - 100</t>
  </si>
  <si>
    <t>PARKIR MOBIL GENSET</t>
  </si>
  <si>
    <t>PAPAN PETUNJUK</t>
  </si>
  <si>
    <t>Beton pondasi sumuran</t>
  </si>
  <si>
    <t>Kolom baja IWF 200.100.3,2.4,5</t>
  </si>
  <si>
    <t xml:space="preserve">Besi beton O.16 </t>
  </si>
  <si>
    <t>Konsol baja 2.C 150.100.20.2,3</t>
  </si>
  <si>
    <t>Gording baja O.4"</t>
  </si>
  <si>
    <t>atap</t>
  </si>
  <si>
    <t>Cat tembok</t>
  </si>
  <si>
    <t>Lapis alluminium panel</t>
  </si>
  <si>
    <t>Clading/alluminium panel</t>
  </si>
  <si>
    <t>Lettering</t>
  </si>
  <si>
    <t>PEKERJAAN PEMIPAAN AIR KOTOR CAIR</t>
  </si>
  <si>
    <t>Pasang pipa PVC O.3" - AW</t>
  </si>
  <si>
    <t>Pasang pipa PVC O.4" - AW</t>
  </si>
  <si>
    <t>Fiting, sock, elbow, knee, dll</t>
  </si>
  <si>
    <t>Kitchen zing</t>
  </si>
  <si>
    <t>PEKERJAAN PEMIPAAN AIR KOTOR PADAT</t>
  </si>
  <si>
    <t>PEKERJAAN PEMIPAAN AIR BERSIH</t>
  </si>
  <si>
    <t>Ground Reservoir, kapasitas 10 m3</t>
  </si>
  <si>
    <t>Kran air O. 1/2 "</t>
  </si>
  <si>
    <t>Pipa PVC - O. 1" - AW</t>
  </si>
  <si>
    <t>Pipa PVC - O.3/4" - AW</t>
  </si>
  <si>
    <t>Valve O. 1 "</t>
  </si>
  <si>
    <t>Valve O. 11/2 " untuk penguras</t>
  </si>
  <si>
    <t>Pipa  O. 11/2 " untuk penguras</t>
  </si>
  <si>
    <t>Bak air fibreglass kapasitas 1,100 liter</t>
  </si>
  <si>
    <t>PEKERJAAN LAN KOMPUTER</t>
  </si>
  <si>
    <t>Pengadaan dan pemasangan Hap playnem 26 part</t>
  </si>
  <si>
    <t>Conector untuk dinding</t>
  </si>
  <si>
    <t>Conector RJ 45</t>
  </si>
  <si>
    <t>Instalasi kabel dari Hap play ke Komputer</t>
  </si>
  <si>
    <t>Testing comisioning</t>
  </si>
  <si>
    <t>PEKERJAAN TELEPHONE</t>
  </si>
  <si>
    <t>Pengadaan dan pemasangan PABX PTT 120 extension</t>
  </si>
  <si>
    <t>Pengadaan dan pemasangan Key telephone</t>
  </si>
  <si>
    <t>Pengadaan dan penasangan Instalasi</t>
  </si>
  <si>
    <t>Pengadaan out let telephone / stop kontak</t>
  </si>
  <si>
    <t>PEKERJAAN LISTRIK</t>
  </si>
  <si>
    <t>Instalasi titik lampu dan stop kontak</t>
  </si>
  <si>
    <t>PEKERJAAN PANEL</t>
  </si>
  <si>
    <t>PEKERJAAN  A C  / TATA UDARA</t>
  </si>
  <si>
    <t>PEKERJAAN PLAMBING</t>
  </si>
  <si>
    <t>Lampu pijar 25 watt</t>
  </si>
  <si>
    <t>PEKERJAAN FUSE BOX</t>
  </si>
  <si>
    <t>Fuse box 4 grup</t>
  </si>
  <si>
    <t>NYY 4x4 mm2 dari fuse box Pos jaga ke MDP</t>
  </si>
  <si>
    <t>PEKERJAAN LAMPU TAMAN / PENERANGAN HALAMAN</t>
  </si>
  <si>
    <t>PEKERJAAN LISTRIK POS JAGA</t>
  </si>
  <si>
    <t>(lebar 1,60 m, tebal 0,20 m) / m'</t>
  </si>
  <si>
    <t>TIPE - A : ( A-C + E-F )</t>
  </si>
  <si>
    <t>TIPE - B : ( C-D + D-E )</t>
  </si>
  <si>
    <t>Pengadaan dan pemasangan tiang lampu</t>
  </si>
  <si>
    <t>TIANG LAMPU HALAMAN TINGGI 3,5 M</t>
  </si>
  <si>
    <t>Pengadaan dan pemasangan tiang lampu jalan tinggi sesuai gambar</t>
  </si>
  <si>
    <t>Pilar lampu halaman tingi 1,50 m, sesuai gambar</t>
  </si>
  <si>
    <t>Lampu HPL 80 watt</t>
  </si>
  <si>
    <t>Lampu taman sesuai gambar + SL 18 watt</t>
  </si>
  <si>
    <t>Kap lampu O.40</t>
  </si>
  <si>
    <t>Kabel NYY 3x2,5 mm2</t>
  </si>
  <si>
    <t>Tesitng comisioning</t>
  </si>
  <si>
    <t>12x12</t>
  </si>
  <si>
    <t>8 cm</t>
  </si>
  <si>
    <t>Plat atap 12 cm</t>
  </si>
  <si>
    <t>PPN 10 %</t>
  </si>
  <si>
    <t>Sumur resapan + bak kontrol</t>
  </si>
  <si>
    <t>Pengadaan fire extinguiser chubb 6 kg</t>
  </si>
  <si>
    <t>Bouwsom</t>
  </si>
  <si>
    <t>Groundtank</t>
  </si>
  <si>
    <t>Urugan pasir</t>
  </si>
  <si>
    <t>Beton lantai kerja</t>
  </si>
  <si>
    <t>Besi tulangan</t>
  </si>
  <si>
    <t>Bekisting</t>
  </si>
  <si>
    <t>Tower air kap 3 m3</t>
  </si>
  <si>
    <t>Urugan kembali</t>
  </si>
  <si>
    <t>Pas, batu bata</t>
  </si>
  <si>
    <t>Plesteran</t>
  </si>
  <si>
    <t>Sponing</t>
  </si>
  <si>
    <t>Pipa 2"</t>
  </si>
  <si>
    <t>Pipa 3/4"</t>
  </si>
  <si>
    <t>Tandon air</t>
  </si>
  <si>
    <t>Anstamping</t>
  </si>
  <si>
    <t>Ijiuk</t>
  </si>
  <si>
    <t>Beton 1:2:3</t>
  </si>
  <si>
    <t>Pipa PVC</t>
  </si>
  <si>
    <t>Pipa GIP</t>
  </si>
  <si>
    <t>REKAPITULASI RENCANA ANGGARAN PELAKSANAAN</t>
  </si>
  <si>
    <r>
      <t>Ø</t>
    </r>
    <r>
      <rPr>
        <sz val="7.2"/>
        <rFont val="Helv"/>
        <family val="0"/>
      </rPr>
      <t>12</t>
    </r>
  </si>
  <si>
    <r>
      <t>Ø</t>
    </r>
    <r>
      <rPr>
        <sz val="7.2"/>
        <rFont val="Helv"/>
        <family val="0"/>
      </rPr>
      <t>10</t>
    </r>
  </si>
  <si>
    <r>
      <t>Ø</t>
    </r>
    <r>
      <rPr>
        <sz val="7.2"/>
        <rFont val="Helv"/>
        <family val="0"/>
      </rPr>
      <t>8</t>
    </r>
  </si>
  <si>
    <t xml:space="preserve">Granito </t>
  </si>
  <si>
    <t>40 x 40</t>
  </si>
  <si>
    <t>Roman</t>
  </si>
  <si>
    <t>33 x 33</t>
  </si>
  <si>
    <t>25 x 33</t>
  </si>
  <si>
    <t>6 x 25</t>
  </si>
  <si>
    <t>Salsa  Polished</t>
  </si>
  <si>
    <t>Salsa  Unpolished</t>
  </si>
  <si>
    <t>Denver G. 367010</t>
  </si>
  <si>
    <t>Denver W. 30614</t>
  </si>
  <si>
    <t>Denver W. 30654</t>
  </si>
  <si>
    <t>Denver Beige Listello</t>
  </si>
  <si>
    <t>TOTO</t>
  </si>
  <si>
    <t>Closet jongkok</t>
  </si>
  <si>
    <t>Closet duduk</t>
  </si>
  <si>
    <t>Jet Washer</t>
  </si>
  <si>
    <t>Urinoir</t>
  </si>
  <si>
    <t>Washtafel</t>
  </si>
  <si>
    <t>Sekat Urinoir</t>
  </si>
  <si>
    <t>Kran air</t>
  </si>
  <si>
    <t xml:space="preserve">Wahsbak </t>
  </si>
  <si>
    <t>Floor drain</t>
  </si>
  <si>
    <t>CE 6</t>
  </si>
  <si>
    <t>CW 611 JT1/SW 784 JP</t>
  </si>
  <si>
    <t>TX403SPIV</t>
  </si>
  <si>
    <t>U 57 M</t>
  </si>
  <si>
    <t>L521V3</t>
  </si>
  <si>
    <t>A100</t>
  </si>
  <si>
    <t>T23B13</t>
  </si>
  <si>
    <t>T30AR13V7</t>
  </si>
  <si>
    <t>TX1BN</t>
  </si>
  <si>
    <t>Tempat cuci piring</t>
  </si>
  <si>
    <t>single</t>
  </si>
  <si>
    <t>NO</t>
  </si>
  <si>
    <t>NAMA BARANG / TYPE</t>
  </si>
  <si>
    <t>San-Ei</t>
  </si>
  <si>
    <t>15x30</t>
  </si>
  <si>
    <t>Beton foot plat (1:2:3)</t>
  </si>
  <si>
    <t>Beton konsul</t>
  </si>
  <si>
    <t>Rangka atap baja ringan</t>
  </si>
  <si>
    <t>Penutup atap Zink Alum</t>
  </si>
  <si>
    <t>Bubungan atap Zink Alum</t>
  </si>
  <si>
    <t>Rangka lisplang besi siku</t>
  </si>
  <si>
    <t>Seng penutup belakang lisplank</t>
  </si>
  <si>
    <t>Sponengan</t>
  </si>
  <si>
    <t xml:space="preserve">Pasang dinding keramik 25x33 </t>
  </si>
  <si>
    <t>Border keramik  6x25</t>
  </si>
  <si>
    <t>Cat tembok dinding luar</t>
  </si>
  <si>
    <t>Catylac</t>
  </si>
  <si>
    <t>PEKERJAAN  GUDANG KWH METER</t>
  </si>
  <si>
    <t>PEKERJAAN LISTRIK BANGUNAN GUDANG KWH METER</t>
  </si>
  <si>
    <t>Besi hollo kisi-kisi</t>
  </si>
  <si>
    <t>Rabat beton keliling bangunan</t>
  </si>
  <si>
    <t>dinding</t>
  </si>
  <si>
    <t>Rangka Clayding</t>
  </si>
  <si>
    <t>Pasang dinding keramik 25x33</t>
  </si>
  <si>
    <t>Pasang Lantai keramik tekstur 33x33</t>
  </si>
  <si>
    <t>Buis beton U 30</t>
  </si>
  <si>
    <t xml:space="preserve">  / m1</t>
  </si>
  <si>
    <t>Pasang batu bata 1:3</t>
  </si>
  <si>
    <t>Bekisting untuk plat</t>
  </si>
  <si>
    <t>Pasangan keramik 20x25</t>
  </si>
  <si>
    <t>Pas, batu bata 1 : 3</t>
  </si>
  <si>
    <t>Beton kolom struktur</t>
  </si>
  <si>
    <t>Beton Foot plat</t>
  </si>
  <si>
    <t>Saluran U.30</t>
  </si>
  <si>
    <t>Granit tile 40x40</t>
  </si>
  <si>
    <t>Pasang Plin lantai granit tile  10x40</t>
  </si>
  <si>
    <t>1m'</t>
  </si>
  <si>
    <t>10m'</t>
  </si>
  <si>
    <t>Granit tile 40x40 warna muda</t>
  </si>
  <si>
    <t>Granit tile 40x40 warna hitam</t>
  </si>
  <si>
    <t>Granit tile 40x40 hitam</t>
  </si>
  <si>
    <t>Pasang keramik dinding 25/33</t>
  </si>
  <si>
    <t>Keramik  25/33</t>
  </si>
  <si>
    <t>Pasang border keramik dinding KM</t>
  </si>
  <si>
    <t>Border keramik 6x25</t>
  </si>
  <si>
    <t>Cat tembok Dulux Pentalite</t>
  </si>
  <si>
    <t>Brankas</t>
  </si>
  <si>
    <t xml:space="preserve">Beton 1:2:3 </t>
  </si>
  <si>
    <t>Pintu besi</t>
  </si>
  <si>
    <t>Pasang Dindinggranit tile  40/40</t>
  </si>
  <si>
    <t>Pondasi beton 1:2:3</t>
  </si>
  <si>
    <t>Pasang lapis dinding marmer bakar</t>
  </si>
  <si>
    <t>Pasang lapis dinding Batu alam</t>
  </si>
  <si>
    <t>Batualam marmer bakar</t>
  </si>
  <si>
    <t>Batu alam</t>
  </si>
  <si>
    <t>Pasang dinding  pelapis marmer bakar</t>
  </si>
  <si>
    <t>Pasang dinding  pelapis batu alam</t>
  </si>
  <si>
    <t>Marmer bakar</t>
  </si>
  <si>
    <t>Pasang bubungan genteng keramik M.CLASS</t>
  </si>
  <si>
    <t>Pasang genteng keramik M.CLASS</t>
  </si>
  <si>
    <t>Pasang Paving : abu-abu</t>
  </si>
  <si>
    <t>Paving abu-abu</t>
  </si>
  <si>
    <t>Pasang Paving : warna</t>
  </si>
  <si>
    <t>Paving warna</t>
  </si>
  <si>
    <t xml:space="preserve">Plesteran 1:3  </t>
  </si>
  <si>
    <t>Penutup atap dengan zingalum BJLS 40</t>
  </si>
  <si>
    <t>Penutup bubungan pada atap zingalum</t>
  </si>
  <si>
    <t xml:space="preserve">Seng penutup belakang lisplank </t>
  </si>
  <si>
    <t>Kuda-kuda baja besi siku</t>
  </si>
  <si>
    <t>Septictank</t>
  </si>
  <si>
    <t xml:space="preserve">Talang tegak PVC Ø 4" </t>
  </si>
  <si>
    <t>DAFTAR ANALISA HARGA SATUAN PEKERJAAN</t>
  </si>
  <si>
    <t>URAIAN</t>
  </si>
  <si>
    <t>HARGA SATUAN</t>
  </si>
  <si>
    <t>Pasang Kaca ryben 12 mm tempered</t>
  </si>
  <si>
    <t>Engsel pintu floor hange  Dorma</t>
  </si>
  <si>
    <t>Pasang handel stainless 60 cm</t>
  </si>
  <si>
    <t>Pasang Kaca ryben  8 mm</t>
  </si>
  <si>
    <t>Kaca rayban 8 mm</t>
  </si>
  <si>
    <t>Pasang Daun pintu dobel tekwood</t>
  </si>
  <si>
    <t>Pasang kunci pintu  SES</t>
  </si>
  <si>
    <t>Door closer</t>
  </si>
  <si>
    <t>Pasang Daun pintu kaca rk aluminium</t>
  </si>
  <si>
    <t>Handel aluminium</t>
  </si>
  <si>
    <t>Handle pintu stainless  60 cm</t>
  </si>
  <si>
    <t>Handle pintu aluminium  60 cm</t>
  </si>
  <si>
    <t>Pasang Kaca ryben 8 mm</t>
  </si>
  <si>
    <t>ps</t>
  </si>
  <si>
    <t>Espanolet</t>
  </si>
  <si>
    <t>Profil kayu</t>
  </si>
  <si>
    <t>Pasang kosen P Bj</t>
  </si>
  <si>
    <t>Teralis besi</t>
  </si>
  <si>
    <t>Pasang kosen J1</t>
  </si>
  <si>
    <t>Gruted sealant</t>
  </si>
  <si>
    <t>Pasang kosen J2</t>
  </si>
  <si>
    <t>Pasang kosen J3</t>
  </si>
  <si>
    <t>Pasang kosen J4</t>
  </si>
  <si>
    <t>Pasang kosen J5</t>
  </si>
  <si>
    <t>Pasang kosen J6</t>
  </si>
  <si>
    <t>Pasang kosen J7</t>
  </si>
  <si>
    <t>Pasang kosen J8</t>
  </si>
  <si>
    <t>Pasang kosen J9</t>
  </si>
  <si>
    <t>Daun boven jungkit</t>
  </si>
  <si>
    <t>Pasang Kaca ryben  5 mm</t>
  </si>
  <si>
    <t>Grendel jendela</t>
  </si>
  <si>
    <t>Pasang kosen J10</t>
  </si>
  <si>
    <t>Pasang kosen BV</t>
  </si>
  <si>
    <t>Pasang L A</t>
  </si>
  <si>
    <t>Pasang lapis dinding granit tile</t>
  </si>
  <si>
    <t>Pasang lantai batu koral sikat</t>
  </si>
  <si>
    <t>Batu koral sikat</t>
  </si>
  <si>
    <t>Kusen Pos Jaga</t>
  </si>
  <si>
    <t>Pasang kosen P A1</t>
  </si>
  <si>
    <t>Pasang Daun pintu dobel tekwood lapis Alm</t>
  </si>
  <si>
    <t>Pasang kosen P A2</t>
  </si>
  <si>
    <t>Pasang kosen J A1</t>
  </si>
  <si>
    <t>Beton Plat topi-topi</t>
  </si>
  <si>
    <t>Pasang kosen J A2</t>
  </si>
  <si>
    <t>Lubang angin</t>
  </si>
  <si>
    <t>Kusen KWH meter</t>
  </si>
  <si>
    <t>Pasang kosen P Gs</t>
  </si>
  <si>
    <t>Rel pintu geser</t>
  </si>
  <si>
    <t>set</t>
  </si>
  <si>
    <t>Instalasi titik  stop kontak</t>
  </si>
  <si>
    <t>Lampu Baret TL Ring 32 Watt</t>
  </si>
  <si>
    <t>Lampu taman SL 18 Watt</t>
  </si>
  <si>
    <t>Lampu pijar 25 Watt</t>
  </si>
  <si>
    <t>Skaklar tunggal  Broco Grasio</t>
  </si>
  <si>
    <t>Skaklar seri  Broco Grasio</t>
  </si>
  <si>
    <t>Testing Comisioning</t>
  </si>
  <si>
    <t>Panel MDP</t>
  </si>
  <si>
    <t>Real Cooper 40x80mm</t>
  </si>
  <si>
    <t>Pushbar Support 3 Phasa</t>
  </si>
  <si>
    <t>Wiring Panel</t>
  </si>
  <si>
    <t>HZ meter circutor</t>
  </si>
  <si>
    <t>Selector Volt K &amp; N</t>
  </si>
  <si>
    <t>Ampere Meter Circutor</t>
  </si>
  <si>
    <t>MCCB 100 Aa 25 ka 3 Phasa</t>
  </si>
  <si>
    <t>MCCB 80 A 3 Phasa</t>
  </si>
  <si>
    <t>MCCB 20 A  3 Phasa</t>
  </si>
  <si>
    <t>MCCB 60 A  3 Phasa</t>
  </si>
  <si>
    <t>Vol meter Circutor</t>
  </si>
  <si>
    <t>Pot</t>
  </si>
  <si>
    <t>MCB 6 A 1 Phasa</t>
  </si>
  <si>
    <t>MCCB 100 A 10 KA  3 Phasa</t>
  </si>
  <si>
    <t>Panel SDP</t>
  </si>
  <si>
    <t>MCB 10 A 1 Phasa</t>
  </si>
  <si>
    <t>Panel AC</t>
  </si>
  <si>
    <t>MCCB 100 A 18 KA  3 Phasa</t>
  </si>
  <si>
    <t>MCB1 6 A 1 Phasa</t>
  </si>
  <si>
    <t>Pengadaan dan pemasangan AC casette 2 PK/27000 Btu/h</t>
  </si>
  <si>
    <t>Pengadaan dan pemasangan AC split dinding 1 1/2 PK/13500 Btu/h</t>
  </si>
  <si>
    <t>Pengadaan dan pemasangan AC split dinding  1 PK/9000 Btu/h</t>
  </si>
  <si>
    <t>Pipa drainase</t>
  </si>
  <si>
    <t>Instalasi Power AC  3 Phase</t>
  </si>
  <si>
    <t>Instalasi Power AC 1 Phase</t>
  </si>
  <si>
    <t xml:space="preserve">Instalasi titik lampu </t>
  </si>
  <si>
    <t>MCB  10 A</t>
  </si>
  <si>
    <t>Beton ring struktur</t>
  </si>
  <si>
    <t>Beton Kolom struktur 20x25</t>
  </si>
  <si>
    <t>lantai KM</t>
  </si>
  <si>
    <t xml:space="preserve">Pasang lantai KM  keramik 33x33 </t>
  </si>
  <si>
    <t>Keramik  33/33</t>
  </si>
  <si>
    <t>Pasang keramik lantai KM  33/33</t>
  </si>
  <si>
    <t>Glasswool  Type 2450  T = 50 mm</t>
  </si>
  <si>
    <t>Glasswool  Type 1650  T = 50 mm</t>
  </si>
  <si>
    <t>24 kg/m3</t>
  </si>
  <si>
    <t>16 kg/m3</t>
  </si>
  <si>
    <t>Beton ring Struktur 20x35</t>
  </si>
  <si>
    <t>Aluminiumfoil Superwoven  588 SS</t>
  </si>
  <si>
    <t>Aluminiumfoil Superwoven  599 DS</t>
  </si>
  <si>
    <t>Roofmesh</t>
  </si>
  <si>
    <t>Kanopi</t>
  </si>
  <si>
    <t>lantai kerja</t>
  </si>
  <si>
    <t>Beton Pondasi Foot Plat 1</t>
  </si>
  <si>
    <t>Grill besi hollow</t>
  </si>
  <si>
    <t>Pasang ornamen kolom</t>
  </si>
  <si>
    <t>Pasang cladding 4 mm (0,40 AL) PVDF+ rangka</t>
  </si>
  <si>
    <t>Pasang Logo PLN</t>
  </si>
  <si>
    <t>Lapisan krikil</t>
  </si>
  <si>
    <t>Lapisan batu kosong</t>
  </si>
  <si>
    <t>Lapisan ijuk</t>
  </si>
  <si>
    <r>
      <t xml:space="preserve">Bis beton 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 m</t>
    </r>
  </si>
  <si>
    <t>Pas. Batu bata  1 : 3</t>
  </si>
  <si>
    <t>Beton plat tutup</t>
  </si>
  <si>
    <t>Plesteran  1 : 3</t>
  </si>
  <si>
    <t>Sumur Resapan</t>
  </si>
  <si>
    <t>Urugan tanah peninggian halaman</t>
  </si>
  <si>
    <t>Paving abu-abu  K 300</t>
  </si>
  <si>
    <t>Paving warna  K 300</t>
  </si>
  <si>
    <t>Kansteen beton 10x20x50</t>
  </si>
  <si>
    <t>=  1/2  Galian tanah</t>
  </si>
  <si>
    <t>Seng plat BJLS 30  l = 90 cm</t>
  </si>
  <si>
    <t>Jet washer</t>
  </si>
  <si>
    <t>Kran</t>
  </si>
  <si>
    <t>Kaca cermin</t>
  </si>
  <si>
    <t>Pasang floordrain O.3"  TX 1BN</t>
  </si>
  <si>
    <t>Grounding</t>
  </si>
  <si>
    <t>Testing komisioning</t>
  </si>
  <si>
    <t>Pengadaan dan pemasangan Panel box</t>
  </si>
  <si>
    <t>Pengadaan dan pemasangan batery back up</t>
  </si>
  <si>
    <t>NYY 4X70 MM2 dari MDP ke KWH PLN</t>
  </si>
  <si>
    <t>NYY 4X50 MM2 dari MDP ke Panel AC</t>
  </si>
  <si>
    <t>NYY 4X16 MM2 dari MDP ke SDP</t>
  </si>
  <si>
    <t>NYF GBy 4x4 mm2  Lampu taman</t>
  </si>
  <si>
    <t>PEKERJAAN KABEL POWER</t>
  </si>
  <si>
    <t>GAL</t>
  </si>
  <si>
    <t>BETON</t>
  </si>
  <si>
    <t>Beton cor 1:2:3</t>
  </si>
  <si>
    <t>Septictank &amp; Peresapan</t>
  </si>
  <si>
    <t>Penyambungan PLN  3 phase - 23  KVA</t>
  </si>
  <si>
    <t>HARGA SATUAN DASAR UPAH DAN BAHAN</t>
  </si>
  <si>
    <t>ex. China</t>
  </si>
  <si>
    <t>Pasang plint keramik 10/60</t>
  </si>
  <si>
    <t>Granit tile 60x60</t>
  </si>
  <si>
    <t>Ex. China</t>
  </si>
  <si>
    <t>Granit tile 60x60 warna muda</t>
  </si>
  <si>
    <t>Granit tile 60x60 warna hitam</t>
  </si>
  <si>
    <t>ex. Granito</t>
  </si>
  <si>
    <t>Pasang Plin lantai granit tile  10x60</t>
  </si>
  <si>
    <t>Waterproofing</t>
  </si>
  <si>
    <t xml:space="preserve">PAGAR DEPAN </t>
  </si>
  <si>
    <t>tinggi - 1,5 m, panjang</t>
  </si>
  <si>
    <t>Berabenan</t>
  </si>
  <si>
    <t>Urugan tanah  Gudang trafo</t>
  </si>
  <si>
    <t>PAPAN NAMA KANTOR</t>
  </si>
  <si>
    <t>Pasang Dindinggranit tile  40/40 hitam</t>
  </si>
  <si>
    <t>Grafir tulisan</t>
  </si>
  <si>
    <t>Grafir logo PLN</t>
  </si>
  <si>
    <t xml:space="preserve">Plesteran </t>
  </si>
  <si>
    <t>Beton plat dinding t 10 cm</t>
  </si>
  <si>
    <t>Papan Nama Kantor</t>
  </si>
  <si>
    <t xml:space="preserve">Logo PLN  </t>
  </si>
  <si>
    <t>30 x 40 cm</t>
  </si>
  <si>
    <t>Galvanis finish cat</t>
  </si>
  <si>
    <t>Grassblock</t>
  </si>
  <si>
    <t>Pasang Grassblock</t>
  </si>
  <si>
    <t>Cat tembok dinding</t>
  </si>
  <si>
    <t>Logo PLN    24 x 32  cm</t>
  </si>
  <si>
    <t>galvanis  finish cat</t>
  </si>
  <si>
    <t xml:space="preserve">Logo PLN   30 x 40 </t>
  </si>
  <si>
    <t xml:space="preserve">Pemasangan trafo  3 Phase  25 KVA </t>
  </si>
  <si>
    <t>abu-abu</t>
  </si>
  <si>
    <t>Cat tembok catylac</t>
  </si>
  <si>
    <t>Landscape</t>
  </si>
  <si>
    <t>Pasang paving halaman belakang</t>
  </si>
  <si>
    <t>Pasang paving halaman depan</t>
  </si>
  <si>
    <t>Ex China</t>
  </si>
  <si>
    <t>Pasang Lantai keramik 60X60</t>
  </si>
  <si>
    <t>ex China</t>
  </si>
  <si>
    <t>Pasang rumput halaman depan</t>
  </si>
  <si>
    <t>Administrasi &amp; Dokumentasi</t>
  </si>
  <si>
    <t>Penutup lisplank Clayding Aluminium Composite Panel</t>
  </si>
  <si>
    <t>Penutup lisplank Clayding Plat Finish Powder Coating</t>
  </si>
  <si>
    <t>Atap Polycarbinate + rangka</t>
  </si>
  <si>
    <t>Box Panel 80 x 60 x 20 cm</t>
  </si>
  <si>
    <t>Box Panel 60 x 40 x 20 cm untuk Panel SDP &amp; Panel AC</t>
  </si>
  <si>
    <t>Box Panel gabung dengan Panel SDP</t>
  </si>
  <si>
    <t>NYY 4x4 mm2 dari fuse box Gudang KWH Meter ke MDP</t>
  </si>
  <si>
    <t>Kanopi lengkap Konstruksi Atas &amp; Pondasi termasuk finishing</t>
  </si>
  <si>
    <t>Konstruksi Ruang Brankas termasuk Pintu</t>
  </si>
  <si>
    <t>GRILL BESI TUTUP SALURAN LEBAR 1,60 M</t>
  </si>
  <si>
    <t>Pasang floordrain stainless steel</t>
  </si>
  <si>
    <t>Pasang Dinding granit tile  40/40 hitam</t>
  </si>
  <si>
    <t>Pasang P Gs lengkap termasuk asesories</t>
  </si>
  <si>
    <t>Pasang P 7 lengkap termasuk asesories &amp; Doorcloser</t>
  </si>
  <si>
    <t>Pasang J 1 lengkap termasuk asesories</t>
  </si>
  <si>
    <t>Pasang J 2 lengkap termasuk asesories</t>
  </si>
  <si>
    <t>Pasang J 3 lengkap termasuk asesories</t>
  </si>
  <si>
    <t>Pasang J 4 lengkap termasuk asesories</t>
  </si>
  <si>
    <t>Pasang J 5 lengkap termasuk asesories</t>
  </si>
  <si>
    <t>Pasang J 6 lengkap termasuk asesories</t>
  </si>
  <si>
    <t>Pasang J 7 lengkap termasuk asesories</t>
  </si>
  <si>
    <t>Pasang J 8 lengkap termasuk asesories</t>
  </si>
  <si>
    <t>Pasang J 9 lengkap termasuk asesories</t>
  </si>
  <si>
    <t>Pasang J 10 lengkap termasuk asesories</t>
  </si>
  <si>
    <t>Pasang BV lengkap termasuk asesories</t>
  </si>
  <si>
    <t>Pasang LA lengkap termasuk asesories</t>
  </si>
  <si>
    <t>Pasang PA1 - Pjg lengkap termasuk asesories + Doorcloser</t>
  </si>
  <si>
    <t>Pasang PA2 - Pjg lengkap termasuk asesories + Doorcloser</t>
  </si>
  <si>
    <t>Pasang J1 - Pjg lengkap termasuk asesories</t>
  </si>
  <si>
    <t>Pasang J2 - Pjg lengkap termasuk asesories</t>
  </si>
  <si>
    <t>Pasang P 1 lengkap termasuk asesories + Doorcloser</t>
  </si>
  <si>
    <t>Pasang Lantai Granite Tile 60x60</t>
  </si>
  <si>
    <t>Cat tembok sisi dalam</t>
  </si>
  <si>
    <t>Cat tembok sisi luar &amp; dalam</t>
  </si>
  <si>
    <t>Galian tanah biasa</t>
  </si>
  <si>
    <t>tidak dikerjakan</t>
  </si>
  <si>
    <t>Jumlah sub VI = pek. halaman</t>
  </si>
  <si>
    <t>Pas. Plafond gypsum 9 mm (metalfuring + C Chanel)</t>
  </si>
  <si>
    <t>Pas. Plafond kalsiboard 4,5 mm (metalfuring + C Chanel)</t>
  </si>
  <si>
    <t>dinding KM bag. bawah</t>
  </si>
  <si>
    <t>padat dlm bangunan</t>
  </si>
  <si>
    <t>tinggi - 2 m, panjang</t>
  </si>
  <si>
    <t>Pasang Kosen Alluminium silver 3 " ( Alexindo )</t>
  </si>
  <si>
    <t>Pasang Lantai Granit tile  60/60</t>
  </si>
  <si>
    <t>TANDON AIR ATAS</t>
  </si>
  <si>
    <t>Pasang atap Polycarbonat rangka pipa fin cat</t>
  </si>
  <si>
    <t>Jumlah sub III - pekerjaan pos jaga</t>
  </si>
  <si>
    <t>Jumlah sub IV - pekerjaan Gudang KWH Meter</t>
  </si>
  <si>
    <t>Pasang rabat beton gudang trafo + carport</t>
  </si>
  <si>
    <t>PEKERJAAN PLUMBING</t>
  </si>
  <si>
    <t>p1</t>
  </si>
  <si>
    <t>p2</t>
  </si>
  <si>
    <t>p3</t>
  </si>
  <si>
    <t>p4</t>
  </si>
  <si>
    <t>p4a</t>
  </si>
  <si>
    <t>p5</t>
  </si>
  <si>
    <t>p6</t>
  </si>
  <si>
    <t>foot plat</t>
  </si>
  <si>
    <t>pondasi batu belah dan foot plat</t>
  </si>
  <si>
    <t>K5</t>
  </si>
  <si>
    <t>K6</t>
  </si>
  <si>
    <t>Beton Kuda kuda</t>
  </si>
  <si>
    <t>Beton Kuda- Kuda</t>
  </si>
  <si>
    <t xml:space="preserve">Beton balok struktur </t>
  </si>
  <si>
    <t xml:space="preserve">Beton Balok struktur </t>
  </si>
  <si>
    <t>25x15</t>
  </si>
  <si>
    <t>Balok Str</t>
  </si>
  <si>
    <t>B4</t>
  </si>
  <si>
    <t>B5</t>
  </si>
  <si>
    <t>B6</t>
  </si>
  <si>
    <t>B7</t>
  </si>
  <si>
    <t>15X25</t>
  </si>
  <si>
    <t xml:space="preserve">Beton ring atap </t>
  </si>
  <si>
    <t>Rangka atap Kayu reng, usuk, gording meranti</t>
  </si>
  <si>
    <t>1 m2 rangka atap kayu</t>
  </si>
  <si>
    <t>usuk</t>
  </si>
  <si>
    <t>reng</t>
  </si>
  <si>
    <t>Aluminiumfoil</t>
  </si>
  <si>
    <t>CANOPI</t>
  </si>
  <si>
    <t>Bubungan atap genteng keramik M-class</t>
  </si>
  <si>
    <t>Penutup atap Genteng Keramik M-class</t>
  </si>
  <si>
    <t>Dinding</t>
  </si>
  <si>
    <t>Lt.1</t>
  </si>
  <si>
    <t>Lt.2</t>
  </si>
  <si>
    <t>Lbg Kusen</t>
  </si>
  <si>
    <t>Kusen</t>
  </si>
  <si>
    <t>PD1</t>
  </si>
  <si>
    <t>PG</t>
  </si>
  <si>
    <t>jml</t>
  </si>
  <si>
    <t>vol</t>
  </si>
  <si>
    <t>vol sat</t>
  </si>
  <si>
    <t>vol tot</t>
  </si>
  <si>
    <t>jum</t>
  </si>
  <si>
    <t>tot</t>
  </si>
  <si>
    <t>luas</t>
  </si>
  <si>
    <t>J5</t>
  </si>
  <si>
    <t>J6</t>
  </si>
  <si>
    <t>J7</t>
  </si>
  <si>
    <t>J8</t>
  </si>
  <si>
    <t>J9</t>
  </si>
  <si>
    <t>J10</t>
  </si>
  <si>
    <t>Jum</t>
  </si>
  <si>
    <t>Pjg tot</t>
  </si>
  <si>
    <t>tot kaca</t>
  </si>
  <si>
    <t>Lb kusen</t>
  </si>
  <si>
    <t>Tot lb Ksn</t>
  </si>
  <si>
    <t>Total Luas Dinding</t>
  </si>
  <si>
    <t>Luas Kaca/besi</t>
  </si>
  <si>
    <t>Lbg dinding</t>
  </si>
  <si>
    <t>P3 pvc</t>
  </si>
  <si>
    <t>PD2 besi</t>
  </si>
  <si>
    <t>Beton tangga</t>
  </si>
  <si>
    <t xml:space="preserve">Cat tembok dinding </t>
  </si>
  <si>
    <t>Pasang Railing Tangga</t>
  </si>
  <si>
    <t>Pasang PJ1 lengkap termasuk asesories</t>
  </si>
  <si>
    <t>Pasang PJ2 lengkap termasuk asesories</t>
  </si>
  <si>
    <t>Pasang kosen PD 1  pintu utama</t>
  </si>
  <si>
    <t>Pasang PD2 lengkap termasuk asesories</t>
  </si>
  <si>
    <t>Pasang Kosen Kamfer</t>
  </si>
  <si>
    <t>Pasang Daun pintu multiplek</t>
  </si>
  <si>
    <t>Pasang kosen P3 PVC</t>
  </si>
  <si>
    <t>Pjg kusen</t>
  </si>
  <si>
    <t>Pasang kosen P6</t>
  </si>
  <si>
    <t>Pasang kosen P7</t>
  </si>
  <si>
    <t>Pasang Daun Jendela</t>
  </si>
  <si>
    <t>Pasang kosen P J1</t>
  </si>
  <si>
    <t>Pasang Kaca 5 mm</t>
  </si>
  <si>
    <t>Pasang kosen P J2</t>
  </si>
  <si>
    <t>Pasang Kaca bening  5 mm</t>
  </si>
  <si>
    <t xml:space="preserve">dinding KM </t>
  </si>
  <si>
    <t>Meja beton dapur</t>
  </si>
  <si>
    <t>Roof Tank</t>
  </si>
  <si>
    <t>Ground Tank</t>
  </si>
  <si>
    <t>Pasang keramik30/30</t>
  </si>
  <si>
    <t>Pasang keramik 60/60</t>
  </si>
  <si>
    <t>Keramik 60/60</t>
  </si>
  <si>
    <t>Beton rabat 1:3:5</t>
  </si>
  <si>
    <t>5 cm</t>
  </si>
  <si>
    <t>Pasang paving grass blok</t>
  </si>
  <si>
    <t>bawah lantai 10 cm</t>
  </si>
  <si>
    <t>ex. Roman</t>
  </si>
  <si>
    <t>(lantai kerja keramik 5 cm)</t>
  </si>
  <si>
    <t>Pasang dinding batu Tempel 20x40</t>
  </si>
  <si>
    <t>Pasang dinding batu alam hitam</t>
  </si>
  <si>
    <t>Pasang dinding  pelapis batu tempel hitam</t>
  </si>
  <si>
    <t>Batu tempel hitam</t>
  </si>
  <si>
    <t>Pagar besi Hollow</t>
  </si>
  <si>
    <t>Lampu Down light + SL 13 watt</t>
  </si>
  <si>
    <t>Skaklar Hotel</t>
  </si>
  <si>
    <t>Instalasi Penangkal Petir</t>
  </si>
  <si>
    <t>Lampu TL 1x36 watt - RM 300 - kisi-kisi</t>
  </si>
  <si>
    <t>K</t>
  </si>
  <si>
    <t>JumlahTotal- bangunan utama</t>
  </si>
  <si>
    <t>PEKERJAAN CANOPI</t>
  </si>
  <si>
    <t>Instalasi AC</t>
  </si>
  <si>
    <t>Pasang Lantai Keramik 40/40</t>
  </si>
  <si>
    <t>Pasang Lantai Keramik 20/20</t>
  </si>
  <si>
    <t xml:space="preserve">Pasang dinding keramik 20x25 </t>
  </si>
  <si>
    <t xml:space="preserve">Pompa Aqua jet automatic </t>
  </si>
  <si>
    <t>Lampu spot light</t>
  </si>
  <si>
    <t xml:space="preserve">Pasang washtafel -  lengkap </t>
  </si>
  <si>
    <t xml:space="preserve">Pasang kloset duduk lengkap </t>
  </si>
  <si>
    <t>Pasang Lantai Keramik 40/40 anti slip</t>
  </si>
  <si>
    <t>Acian serut/beton garuk</t>
  </si>
  <si>
    <t>Keramik  30/30</t>
  </si>
  <si>
    <t>Penutup atap Genteng beton flat</t>
  </si>
  <si>
    <t>Bubungan atap genteng beton flat</t>
  </si>
  <si>
    <t>Pasang J2 lengkap termasuk asesories</t>
  </si>
  <si>
    <t>Pasang PJ 1 Pintu Utama lengkap termasuk asesories</t>
  </si>
  <si>
    <t xml:space="preserve">Pasang Daun pintu </t>
  </si>
  <si>
    <t>Pasang P 4 folding gate</t>
  </si>
  <si>
    <t>Pasang P 5  folding gate</t>
  </si>
  <si>
    <t xml:space="preserve">Pasang P 1 lengkap termasuk asesories </t>
  </si>
  <si>
    <t xml:space="preserve">Pasang P 2 lengkap termasuk asesories </t>
  </si>
  <si>
    <t>Pasang P 3 lengkap termasuk asesories</t>
  </si>
  <si>
    <t xml:space="preserve">Pasang P 6 folding gate </t>
  </si>
  <si>
    <t xml:space="preserve">: 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</si>
</sst>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0_-;\-* #,##0.000_-;_-* &quot;-&quot;_-;_-@_-"/>
    <numFmt numFmtId="177" formatCode="_-* #,##0.00_-;\-* #,##0.00_-;_-* &quot;-&quot;_-;_-@_-"/>
    <numFmt numFmtId="178" formatCode="_(* #,##0.0000_);_(* \(#,##0.0000\);_(* &quot;-&quot;_);_(@_)"/>
    <numFmt numFmtId="179" formatCode="_(* #,##0.0_);_(* \(#,##0.0\);_(* &quot;-&quot;?_);_(@_)"/>
    <numFmt numFmtId="180" formatCode="0.000"/>
    <numFmt numFmtId="181" formatCode="0.0%"/>
    <numFmt numFmtId="182" formatCode="_(* #,##0.0_);_(* \(#,##0.0\);_(* &quot;-&quot;_);_(@_)"/>
    <numFmt numFmtId="183" formatCode="0.0"/>
    <numFmt numFmtId="184" formatCode="_(* #,##0.000_);_(* \(#,##0.000\);_(* &quot;-&quot;???_);_(@_)"/>
  </numFmts>
  <fonts count="88">
    <font>
      <sz val="12"/>
      <name val="Helv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u val="single"/>
      <sz val="12"/>
      <name val="Tahoma"/>
      <family val="2"/>
    </font>
    <font>
      <sz val="12"/>
      <color indexed="8"/>
      <name val="Tahoma"/>
      <family val="2"/>
    </font>
    <font>
      <b/>
      <sz val="12"/>
      <name val="Helv"/>
      <family val="0"/>
    </font>
    <font>
      <sz val="12"/>
      <color indexed="8"/>
      <name val="Helv"/>
      <family val="0"/>
    </font>
    <font>
      <sz val="12"/>
      <color indexed="12"/>
      <name val="Helv"/>
      <family val="0"/>
    </font>
    <font>
      <sz val="12"/>
      <color indexed="10"/>
      <name val="Helv"/>
      <family val="0"/>
    </font>
    <font>
      <sz val="12"/>
      <color indexed="60"/>
      <name val="Helv"/>
      <family val="0"/>
    </font>
    <font>
      <sz val="10"/>
      <name val="Helv"/>
      <family val="0"/>
    </font>
    <font>
      <b/>
      <sz val="12"/>
      <color indexed="8"/>
      <name val="Helv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b/>
      <sz val="10"/>
      <name val="Helv"/>
      <family val="0"/>
    </font>
    <font>
      <sz val="12"/>
      <color indexed="19"/>
      <name val="Helv"/>
      <family val="0"/>
    </font>
    <font>
      <sz val="12"/>
      <color indexed="48"/>
      <name val="Helv"/>
      <family val="0"/>
    </font>
    <font>
      <sz val="12"/>
      <color indexed="52"/>
      <name val="Helv"/>
      <family val="0"/>
    </font>
    <font>
      <b/>
      <sz val="12"/>
      <color indexed="10"/>
      <name val="Helv"/>
      <family val="0"/>
    </font>
    <font>
      <sz val="12"/>
      <color indexed="44"/>
      <name val="Helv"/>
      <family val="0"/>
    </font>
    <font>
      <sz val="12"/>
      <color indexed="21"/>
      <name val="Helv"/>
      <family val="0"/>
    </font>
    <font>
      <sz val="10"/>
      <color indexed="9"/>
      <name val="Tahoma"/>
      <family val="2"/>
    </font>
    <font>
      <sz val="8"/>
      <name val="Helv"/>
      <family val="0"/>
    </font>
    <font>
      <sz val="10"/>
      <color indexed="53"/>
      <name val="Tahoma"/>
      <family val="2"/>
    </font>
    <font>
      <sz val="12"/>
      <name val="Arial"/>
      <family val="0"/>
    </font>
    <font>
      <sz val="7.2"/>
      <name val="Helv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Tahoma"/>
      <family val="2"/>
    </font>
    <font>
      <b/>
      <sz val="11"/>
      <color indexed="8"/>
      <name val="Tahoma"/>
      <family val="2"/>
    </font>
    <font>
      <b/>
      <u val="single"/>
      <sz val="10"/>
      <name val="Tahoma"/>
      <family val="2"/>
    </font>
    <font>
      <b/>
      <sz val="12"/>
      <name val="Arial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153">
    <xf numFmtId="0" fontId="0" fillId="0" borderId="0" xfId="0" applyAlignment="1">
      <alignment/>
    </xf>
    <xf numFmtId="41" fontId="2" fillId="0" borderId="0" xfId="43" applyFont="1" applyAlignment="1">
      <alignment vertical="center"/>
    </xf>
    <xf numFmtId="41" fontId="2" fillId="0" borderId="0" xfId="43" applyFont="1" applyBorder="1" applyAlignment="1">
      <alignment vertical="center"/>
    </xf>
    <xf numFmtId="170" fontId="2" fillId="0" borderId="0" xfId="43" applyNumberFormat="1" applyFont="1" applyFill="1" applyAlignment="1" applyProtection="1">
      <alignment vertical="center"/>
      <protection/>
    </xf>
    <xf numFmtId="170" fontId="2" fillId="0" borderId="0" xfId="43" applyNumberFormat="1" applyFont="1" applyFill="1" applyAlignment="1">
      <alignment vertical="center"/>
    </xf>
    <xf numFmtId="41" fontId="2" fillId="0" borderId="0" xfId="43" applyFont="1" applyFill="1" applyAlignment="1">
      <alignment vertical="center"/>
    </xf>
    <xf numFmtId="41" fontId="2" fillId="0" borderId="0" xfId="43" applyFont="1" applyFill="1" applyBorder="1" applyAlignment="1">
      <alignment vertical="center"/>
    </xf>
    <xf numFmtId="170" fontId="2" fillId="0" borderId="0" xfId="43" applyNumberFormat="1" applyFont="1" applyFill="1" applyBorder="1" applyAlignment="1" applyProtection="1">
      <alignment vertical="center"/>
      <protection/>
    </xf>
    <xf numFmtId="170" fontId="2" fillId="0" borderId="0" xfId="43" applyNumberFormat="1" applyFont="1" applyFill="1" applyBorder="1" applyAlignment="1">
      <alignment vertical="center"/>
    </xf>
    <xf numFmtId="41" fontId="2" fillId="0" borderId="0" xfId="43" applyFont="1" applyFill="1" applyBorder="1" applyAlignment="1">
      <alignment horizontal="center" vertical="center"/>
    </xf>
    <xf numFmtId="170" fontId="2" fillId="0" borderId="0" xfId="43" applyNumberFormat="1" applyFont="1" applyFill="1" applyBorder="1" applyAlignment="1" applyProtection="1">
      <alignment horizontal="left" vertical="center"/>
      <protection/>
    </xf>
    <xf numFmtId="41" fontId="3" fillId="0" borderId="0" xfId="43" applyFont="1" applyFill="1" applyBorder="1" applyAlignment="1" applyProtection="1">
      <alignment horizontal="center" vertical="center"/>
      <protection/>
    </xf>
    <xf numFmtId="170" fontId="6" fillId="0" borderId="0" xfId="43" applyNumberFormat="1" applyFont="1" applyFill="1" applyAlignment="1" applyProtection="1">
      <alignment vertical="center"/>
      <protection/>
    </xf>
    <xf numFmtId="41" fontId="7" fillId="0" borderId="0" xfId="43" applyFont="1" applyFill="1" applyBorder="1" applyAlignment="1" applyProtection="1">
      <alignment horizontal="left" vertical="center"/>
      <protection/>
    </xf>
    <xf numFmtId="41" fontId="9" fillId="0" borderId="0" xfId="43" applyFont="1" applyFill="1" applyBorder="1" applyAlignment="1" applyProtection="1">
      <alignment horizontal="left" vertical="center"/>
      <protection/>
    </xf>
    <xf numFmtId="41" fontId="2" fillId="0" borderId="0" xfId="43" applyNumberFormat="1" applyFont="1" applyFill="1" applyBorder="1" applyAlignment="1">
      <alignment vertical="center"/>
    </xf>
    <xf numFmtId="175" fontId="2" fillId="0" borderId="0" xfId="42" applyNumberFormat="1" applyFont="1" applyFill="1" applyBorder="1" applyAlignment="1" applyProtection="1">
      <alignment horizontal="left" vertical="center"/>
      <protection/>
    </xf>
    <xf numFmtId="41" fontId="10" fillId="0" borderId="10" xfId="43" applyFont="1" applyFill="1" applyBorder="1" applyAlignment="1" applyProtection="1">
      <alignment horizontal="left" vertical="center"/>
      <protection/>
    </xf>
    <xf numFmtId="170" fontId="10" fillId="0" borderId="11" xfId="43" applyNumberFormat="1" applyFont="1" applyFill="1" applyBorder="1" applyAlignment="1" applyProtection="1">
      <alignment vertical="center"/>
      <protection/>
    </xf>
    <xf numFmtId="41" fontId="10" fillId="0" borderId="0" xfId="43" applyFont="1" applyFill="1" applyBorder="1" applyAlignment="1" applyProtection="1">
      <alignment horizontal="left" vertical="center"/>
      <protection/>
    </xf>
    <xf numFmtId="170" fontId="12" fillId="0" borderId="0" xfId="43" applyNumberFormat="1" applyFont="1" applyFill="1" applyAlignment="1" applyProtection="1">
      <alignment vertical="center"/>
      <protection/>
    </xf>
    <xf numFmtId="170" fontId="12" fillId="0" borderId="0" xfId="43" applyNumberFormat="1" applyFont="1" applyFill="1" applyBorder="1" applyAlignment="1" applyProtection="1">
      <alignment horizontal="left" vertical="center"/>
      <protection/>
    </xf>
    <xf numFmtId="170" fontId="12" fillId="0" borderId="0" xfId="43" applyNumberFormat="1" applyFont="1" applyFill="1" applyBorder="1" applyAlignment="1" applyProtection="1" quotePrefix="1">
      <alignment horizontal="left" vertical="center"/>
      <protection/>
    </xf>
    <xf numFmtId="170" fontId="12" fillId="0" borderId="0" xfId="43" applyNumberFormat="1" applyFont="1" applyFill="1" applyBorder="1" applyAlignment="1">
      <alignment vertical="center"/>
    </xf>
    <xf numFmtId="41" fontId="10" fillId="0" borderId="12" xfId="43" applyFont="1" applyFill="1" applyBorder="1" applyAlignment="1">
      <alignment vertical="center"/>
    </xf>
    <xf numFmtId="41" fontId="10" fillId="0" borderId="13" xfId="43" applyFont="1" applyFill="1" applyBorder="1" applyAlignment="1">
      <alignment horizontal="center" vertical="center"/>
    </xf>
    <xf numFmtId="41" fontId="10" fillId="0" borderId="0" xfId="43" applyFont="1" applyFill="1" applyBorder="1" applyAlignment="1">
      <alignment vertical="center"/>
    </xf>
    <xf numFmtId="41" fontId="10" fillId="0" borderId="14" xfId="43" applyFont="1" applyFill="1" applyBorder="1" applyAlignment="1" applyProtection="1">
      <alignment vertical="center"/>
      <protection/>
    </xf>
    <xf numFmtId="41" fontId="10" fillId="0" borderId="10" xfId="43" applyFont="1" applyFill="1" applyBorder="1" applyAlignment="1">
      <alignment vertical="center"/>
    </xf>
    <xf numFmtId="43" fontId="10" fillId="0" borderId="11" xfId="42" applyFont="1" applyFill="1" applyBorder="1" applyAlignment="1">
      <alignment vertical="center"/>
    </xf>
    <xf numFmtId="170" fontId="10" fillId="0" borderId="15" xfId="43" applyNumberFormat="1" applyFont="1" applyFill="1" applyBorder="1" applyAlignment="1" applyProtection="1">
      <alignment horizontal="left" vertical="center"/>
      <protection/>
    </xf>
    <xf numFmtId="41" fontId="10" fillId="0" borderId="11" xfId="43" applyFont="1" applyFill="1" applyBorder="1" applyAlignment="1" applyProtection="1">
      <alignment horizontal="left" vertical="center"/>
      <protection/>
    </xf>
    <xf numFmtId="170" fontId="10" fillId="0" borderId="11" xfId="43" applyNumberFormat="1" applyFont="1" applyFill="1" applyBorder="1" applyAlignment="1" applyProtection="1">
      <alignment horizontal="left" vertical="center"/>
      <protection/>
    </xf>
    <xf numFmtId="170" fontId="10" fillId="0" borderId="11" xfId="43" applyNumberFormat="1" applyFont="1" applyFill="1" applyBorder="1" applyAlignment="1">
      <alignment vertical="center"/>
    </xf>
    <xf numFmtId="41" fontId="10" fillId="0" borderId="11" xfId="43" applyFont="1" applyFill="1" applyBorder="1" applyAlignment="1">
      <alignment vertical="center"/>
    </xf>
    <xf numFmtId="170" fontId="10" fillId="0" borderId="15" xfId="43" applyNumberFormat="1" applyFont="1" applyFill="1" applyBorder="1" applyAlignment="1" applyProtection="1">
      <alignment vertical="center"/>
      <protection/>
    </xf>
    <xf numFmtId="41" fontId="10" fillId="0" borderId="14" xfId="43" applyFont="1" applyFill="1" applyBorder="1" applyAlignment="1">
      <alignment vertical="center"/>
    </xf>
    <xf numFmtId="170" fontId="10" fillId="0" borderId="15" xfId="43" applyNumberFormat="1" applyFont="1" applyFill="1" applyBorder="1" applyAlignment="1">
      <alignment vertical="center"/>
    </xf>
    <xf numFmtId="43" fontId="15" fillId="0" borderId="11" xfId="42" applyFont="1" applyFill="1" applyBorder="1" applyAlignment="1">
      <alignment vertical="center"/>
    </xf>
    <xf numFmtId="43" fontId="10" fillId="0" borderId="11" xfId="42" applyFont="1" applyFill="1" applyBorder="1" applyAlignment="1" applyProtection="1">
      <alignment horizontal="center" vertical="center"/>
      <protection/>
    </xf>
    <xf numFmtId="41" fontId="10" fillId="0" borderId="10" xfId="43" applyFont="1" applyFill="1" applyBorder="1" applyAlignment="1" applyProtection="1">
      <alignment vertical="center"/>
      <protection/>
    </xf>
    <xf numFmtId="41" fontId="15" fillId="0" borderId="10" xfId="43" applyFont="1" applyFill="1" applyBorder="1" applyAlignment="1" applyProtection="1">
      <alignment horizontal="left" vertical="center"/>
      <protection/>
    </xf>
    <xf numFmtId="41" fontId="13" fillId="0" borderId="10" xfId="43" applyFont="1" applyFill="1" applyBorder="1" applyAlignment="1">
      <alignment vertical="center"/>
    </xf>
    <xf numFmtId="41" fontId="10" fillId="0" borderId="15" xfId="43" applyFont="1" applyFill="1" applyBorder="1" applyAlignment="1">
      <alignment vertical="center"/>
    </xf>
    <xf numFmtId="170" fontId="10" fillId="0" borderId="15" xfId="43" applyNumberFormat="1" applyFont="1" applyFill="1" applyBorder="1" applyAlignment="1" applyProtection="1" quotePrefix="1">
      <alignment horizontal="left" vertical="center"/>
      <protection/>
    </xf>
    <xf numFmtId="170" fontId="10" fillId="0" borderId="0" xfId="43" applyNumberFormat="1" applyFont="1" applyFill="1" applyBorder="1" applyAlignment="1">
      <alignment vertical="center"/>
    </xf>
    <xf numFmtId="41" fontId="11" fillId="0" borderId="0" xfId="43" applyFont="1" applyFill="1" applyBorder="1" applyAlignment="1">
      <alignment vertical="center"/>
    </xf>
    <xf numFmtId="41" fontId="10" fillId="0" borderId="0" xfId="43" applyFont="1" applyFill="1" applyBorder="1" applyAlignment="1" applyProtection="1">
      <alignment vertical="center"/>
      <protection/>
    </xf>
    <xf numFmtId="41" fontId="2" fillId="0" borderId="16" xfId="43" applyFont="1" applyBorder="1" applyAlignment="1">
      <alignment vertical="center"/>
    </xf>
    <xf numFmtId="41" fontId="2" fillId="0" borderId="17" xfId="43" applyFont="1" applyBorder="1" applyAlignment="1">
      <alignment vertical="center"/>
    </xf>
    <xf numFmtId="41" fontId="11" fillId="0" borderId="0" xfId="43" applyFont="1" applyFill="1" applyBorder="1" applyAlignment="1" applyProtection="1">
      <alignment horizontal="center" vertical="center"/>
      <protection/>
    </xf>
    <xf numFmtId="170" fontId="15" fillId="0" borderId="11" xfId="42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1" fontId="8" fillId="0" borderId="0" xfId="43" applyFont="1" applyFill="1" applyBorder="1" applyAlignment="1" applyProtection="1">
      <alignment horizontal="left" vertical="center"/>
      <protection/>
    </xf>
    <xf numFmtId="0" fontId="1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9" xfId="42" applyFont="1" applyBorder="1" applyAlignment="1">
      <alignment/>
    </xf>
    <xf numFmtId="0" fontId="0" fillId="0" borderId="19" xfId="0" applyBorder="1" applyAlignment="1">
      <alignment horizontal="right"/>
    </xf>
    <xf numFmtId="43" fontId="0" fillId="0" borderId="19" xfId="42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43" fontId="0" fillId="0" borderId="16" xfId="42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70" fontId="0" fillId="0" borderId="25" xfId="43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Font="1" applyBorder="1" applyAlignment="1">
      <alignment horizontal="center"/>
    </xf>
    <xf numFmtId="170" fontId="0" fillId="0" borderId="26" xfId="43" applyNumberFormat="1" applyFont="1" applyBorder="1" applyAlignment="1">
      <alignment/>
    </xf>
    <xf numFmtId="170" fontId="0" fillId="0" borderId="16" xfId="43" applyNumberFormat="1" applyFont="1" applyBorder="1" applyAlignment="1">
      <alignment/>
    </xf>
    <xf numFmtId="170" fontId="0" fillId="0" borderId="38" xfId="43" applyNumberFormat="1" applyFont="1" applyBorder="1" applyAlignment="1">
      <alignment/>
    </xf>
    <xf numFmtId="43" fontId="0" fillId="0" borderId="26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38" xfId="42" applyFont="1" applyBorder="1" applyAlignment="1">
      <alignment/>
    </xf>
    <xf numFmtId="0" fontId="0" fillId="0" borderId="25" xfId="0" applyBorder="1" applyAlignment="1">
      <alignment/>
    </xf>
    <xf numFmtId="0" fontId="16" fillId="0" borderId="25" xfId="0" applyFont="1" applyFill="1" applyBorder="1" applyAlignment="1">
      <alignment horizontal="left"/>
    </xf>
    <xf numFmtId="170" fontId="0" fillId="0" borderId="16" xfId="42" applyNumberFormat="1" applyFont="1" applyBorder="1" applyAlignment="1">
      <alignment/>
    </xf>
    <xf numFmtId="170" fontId="0" fillId="0" borderId="38" xfId="42" applyNumberFormat="1" applyFont="1" applyBorder="1" applyAlignment="1">
      <alignment/>
    </xf>
    <xf numFmtId="43" fontId="0" fillId="0" borderId="17" xfId="42" applyFont="1" applyBorder="1" applyAlignment="1">
      <alignment/>
    </xf>
    <xf numFmtId="0" fontId="0" fillId="0" borderId="25" xfId="0" applyFill="1" applyBorder="1" applyAlignment="1">
      <alignment horizontal="center"/>
    </xf>
    <xf numFmtId="170" fontId="17" fillId="0" borderId="38" xfId="42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0" fontId="7" fillId="0" borderId="38" xfId="43" applyNumberFormat="1" applyFont="1" applyFill="1" applyBorder="1" applyAlignment="1" applyProtection="1">
      <alignment vertical="center"/>
      <protection/>
    </xf>
    <xf numFmtId="43" fontId="0" fillId="0" borderId="0" xfId="42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/>
    </xf>
    <xf numFmtId="173" fontId="0" fillId="0" borderId="28" xfId="0" applyNumberFormat="1" applyBorder="1" applyAlignment="1">
      <alignment/>
    </xf>
    <xf numFmtId="173" fontId="0" fillId="0" borderId="31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2" xfId="42" applyNumberFormat="1" applyFont="1" applyBorder="1" applyAlignment="1">
      <alignment/>
    </xf>
    <xf numFmtId="0" fontId="0" fillId="0" borderId="32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21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1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170" fontId="18" fillId="0" borderId="26" xfId="43" applyNumberFormat="1" applyFont="1" applyBorder="1" applyAlignment="1">
      <alignment/>
    </xf>
    <xf numFmtId="0" fontId="16" fillId="0" borderId="25" xfId="0" applyFont="1" applyBorder="1" applyAlignment="1">
      <alignment/>
    </xf>
    <xf numFmtId="0" fontId="0" fillId="0" borderId="0" xfId="0" applyFill="1" applyBorder="1" applyAlignment="1">
      <alignment/>
    </xf>
    <xf numFmtId="170" fontId="20" fillId="0" borderId="26" xfId="43" applyNumberFormat="1" applyFont="1" applyBorder="1" applyAlignment="1">
      <alignment/>
    </xf>
    <xf numFmtId="0" fontId="0" fillId="0" borderId="41" xfId="0" applyBorder="1" applyAlignment="1">
      <alignment horizontal="center"/>
    </xf>
    <xf numFmtId="43" fontId="0" fillId="0" borderId="42" xfId="42" applyFont="1" applyBorder="1" applyAlignment="1">
      <alignment/>
    </xf>
    <xf numFmtId="173" fontId="0" fillId="0" borderId="43" xfId="42" applyNumberFormat="1" applyFont="1" applyBorder="1" applyAlignment="1">
      <alignment/>
    </xf>
    <xf numFmtId="172" fontId="0" fillId="0" borderId="43" xfId="42" applyNumberFormat="1" applyFont="1" applyBorder="1" applyAlignment="1">
      <alignment/>
    </xf>
    <xf numFmtId="172" fontId="0" fillId="0" borderId="44" xfId="42" applyNumberFormat="1" applyFont="1" applyBorder="1" applyAlignment="1">
      <alignment/>
    </xf>
    <xf numFmtId="43" fontId="0" fillId="0" borderId="45" xfId="42" applyFont="1" applyBorder="1" applyAlignment="1">
      <alignment/>
    </xf>
    <xf numFmtId="43" fontId="0" fillId="0" borderId="43" xfId="42" applyFont="1" applyBorder="1" applyAlignment="1">
      <alignment/>
    </xf>
    <xf numFmtId="173" fontId="0" fillId="0" borderId="44" xfId="0" applyNumberFormat="1" applyBorder="1" applyAlignment="1">
      <alignment/>
    </xf>
    <xf numFmtId="0" fontId="16" fillId="0" borderId="25" xfId="0" applyFont="1" applyBorder="1" applyAlignment="1">
      <alignment horizontal="left"/>
    </xf>
    <xf numFmtId="43" fontId="17" fillId="0" borderId="16" xfId="42" applyFont="1" applyBorder="1" applyAlignment="1">
      <alignment/>
    </xf>
    <xf numFmtId="173" fontId="0" fillId="0" borderId="16" xfId="42" applyNumberFormat="1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0" fillId="0" borderId="38" xfId="42" applyNumberFormat="1" applyFont="1" applyBorder="1" applyAlignment="1">
      <alignment/>
    </xf>
    <xf numFmtId="43" fontId="17" fillId="0" borderId="26" xfId="42" applyFont="1" applyBorder="1" applyAlignment="1">
      <alignment/>
    </xf>
    <xf numFmtId="0" fontId="16" fillId="0" borderId="25" xfId="0" applyFont="1" applyBorder="1" applyAlignment="1">
      <alignment horizontal="left"/>
    </xf>
    <xf numFmtId="43" fontId="0" fillId="0" borderId="46" xfId="42" applyFont="1" applyBorder="1" applyAlignment="1">
      <alignment/>
    </xf>
    <xf numFmtId="170" fontId="7" fillId="0" borderId="44" xfId="43" applyNumberFormat="1" applyFont="1" applyFill="1" applyBorder="1" applyAlignment="1" applyProtection="1">
      <alignment vertical="center"/>
      <protection/>
    </xf>
    <xf numFmtId="43" fontId="0" fillId="0" borderId="47" xfId="42" applyFont="1" applyBorder="1" applyAlignment="1">
      <alignment/>
    </xf>
    <xf numFmtId="173" fontId="0" fillId="0" borderId="46" xfId="42" applyNumberFormat="1" applyFont="1" applyBorder="1" applyAlignment="1">
      <alignment/>
    </xf>
    <xf numFmtId="172" fontId="0" fillId="0" borderId="46" xfId="42" applyNumberFormat="1" applyFont="1" applyBorder="1" applyAlignment="1">
      <alignment/>
    </xf>
    <xf numFmtId="172" fontId="0" fillId="0" borderId="48" xfId="42" applyNumberFormat="1" applyFont="1" applyBorder="1" applyAlignment="1">
      <alignment/>
    </xf>
    <xf numFmtId="43" fontId="0" fillId="0" borderId="49" xfId="42" applyFont="1" applyBorder="1" applyAlignment="1">
      <alignment/>
    </xf>
    <xf numFmtId="43" fontId="0" fillId="0" borderId="16" xfId="42" applyNumberFormat="1" applyFont="1" applyBorder="1" applyAlignment="1">
      <alignment/>
    </xf>
    <xf numFmtId="43" fontId="0" fillId="0" borderId="26" xfId="42" applyNumberFormat="1" applyFont="1" applyBorder="1" applyAlignment="1">
      <alignment/>
    </xf>
    <xf numFmtId="0" fontId="0" fillId="0" borderId="28" xfId="0" applyFill="1" applyBorder="1" applyAlignment="1">
      <alignment horizontal="center"/>
    </xf>
    <xf numFmtId="43" fontId="0" fillId="0" borderId="30" xfId="42" applyFont="1" applyBorder="1" applyAlignment="1">
      <alignment/>
    </xf>
    <xf numFmtId="43" fontId="0" fillId="0" borderId="31" xfId="42" applyFont="1" applyBorder="1" applyAlignment="1">
      <alignment/>
    </xf>
    <xf numFmtId="173" fontId="0" fillId="0" borderId="31" xfId="42" applyNumberFormat="1" applyFont="1" applyBorder="1" applyAlignment="1">
      <alignment/>
    </xf>
    <xf numFmtId="172" fontId="0" fillId="0" borderId="31" xfId="42" applyNumberFormat="1" applyFont="1" applyBorder="1" applyAlignment="1">
      <alignment/>
    </xf>
    <xf numFmtId="43" fontId="0" fillId="0" borderId="33" xfId="42" applyFont="1" applyBorder="1" applyAlignment="1">
      <alignment/>
    </xf>
    <xf numFmtId="0" fontId="21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43" fontId="0" fillId="0" borderId="26" xfId="42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43" fontId="0" fillId="0" borderId="26" xfId="0" applyNumberFormat="1" applyBorder="1" applyAlignment="1">
      <alignment horizontal="center"/>
    </xf>
    <xf numFmtId="43" fontId="0" fillId="0" borderId="38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30" xfId="42" applyFont="1" applyBorder="1" applyAlignment="1">
      <alignment horizontal="center"/>
    </xf>
    <xf numFmtId="43" fontId="0" fillId="0" borderId="31" xfId="42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52" xfId="0" applyFont="1" applyBorder="1" applyAlignment="1">
      <alignment/>
    </xf>
    <xf numFmtId="0" fontId="0" fillId="0" borderId="52" xfId="0" applyBorder="1" applyAlignment="1">
      <alignment/>
    </xf>
    <xf numFmtId="0" fontId="16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43" fontId="0" fillId="0" borderId="57" xfId="0" applyNumberFormat="1" applyBorder="1" applyAlignment="1">
      <alignment/>
    </xf>
    <xf numFmtId="180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/>
    </xf>
    <xf numFmtId="43" fontId="0" fillId="0" borderId="26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17" fillId="0" borderId="25" xfId="0" applyFont="1" applyFill="1" applyBorder="1" applyAlignment="1">
      <alignment horizontal="center"/>
    </xf>
    <xf numFmtId="2" fontId="0" fillId="0" borderId="26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2" fillId="0" borderId="3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7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6" xfId="0" applyFont="1" applyBorder="1" applyAlignment="1">
      <alignment/>
    </xf>
    <xf numFmtId="0" fontId="24" fillId="0" borderId="38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26" xfId="0" applyFont="1" applyBorder="1" applyAlignment="1">
      <alignment/>
    </xf>
    <xf numFmtId="0" fontId="21" fillId="0" borderId="38" xfId="0" applyFont="1" applyBorder="1" applyAlignment="1">
      <alignment/>
    </xf>
    <xf numFmtId="0" fontId="22" fillId="0" borderId="53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43" fontId="0" fillId="0" borderId="49" xfId="42" applyFont="1" applyBorder="1" applyAlignment="1">
      <alignment horizontal="center"/>
    </xf>
    <xf numFmtId="43" fontId="0" fillId="0" borderId="47" xfId="42" applyFont="1" applyBorder="1" applyAlignment="1">
      <alignment horizontal="center"/>
    </xf>
    <xf numFmtId="43" fontId="17" fillId="0" borderId="26" xfId="42" applyFont="1" applyBorder="1" applyAlignment="1">
      <alignment horizontal="center"/>
    </xf>
    <xf numFmtId="43" fontId="0" fillId="0" borderId="42" xfId="42" applyFont="1" applyBorder="1" applyAlignment="1">
      <alignment horizontal="center"/>
    </xf>
    <xf numFmtId="43" fontId="0" fillId="0" borderId="44" xfId="42" applyFont="1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43" fontId="16" fillId="0" borderId="16" xfId="42" applyFont="1" applyBorder="1" applyAlignment="1">
      <alignment/>
    </xf>
    <xf numFmtId="43" fontId="0" fillId="0" borderId="26" xfId="42" applyFont="1" applyBorder="1" applyAlignment="1">
      <alignment horizontal="center"/>
    </xf>
    <xf numFmtId="43" fontId="16" fillId="0" borderId="26" xfId="42" applyFont="1" applyBorder="1" applyAlignment="1">
      <alignment horizontal="center"/>
    </xf>
    <xf numFmtId="43" fontId="0" fillId="0" borderId="38" xfId="42" applyFont="1" applyBorder="1" applyAlignment="1">
      <alignment/>
    </xf>
    <xf numFmtId="0" fontId="0" fillId="0" borderId="28" xfId="0" applyFont="1" applyBorder="1" applyAlignment="1">
      <alignment horizontal="center"/>
    </xf>
    <xf numFmtId="43" fontId="0" fillId="0" borderId="31" xfId="42" applyFont="1" applyBorder="1" applyAlignment="1">
      <alignment/>
    </xf>
    <xf numFmtId="2" fontId="0" fillId="0" borderId="30" xfId="0" applyNumberFormat="1" applyBorder="1" applyAlignment="1">
      <alignment horizontal="center"/>
    </xf>
    <xf numFmtId="43" fontId="0" fillId="0" borderId="32" xfId="42" applyFont="1" applyBorder="1" applyAlignment="1">
      <alignment/>
    </xf>
    <xf numFmtId="0" fontId="16" fillId="0" borderId="28" xfId="0" applyFont="1" applyBorder="1" applyAlignment="1">
      <alignment horizontal="center"/>
    </xf>
    <xf numFmtId="43" fontId="0" fillId="0" borderId="35" xfId="42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43" fontId="16" fillId="0" borderId="30" xfId="42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3" fontId="0" fillId="0" borderId="48" xfId="42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43" fontId="0" fillId="0" borderId="46" xfId="42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55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18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18" fillId="0" borderId="26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43" fontId="18" fillId="0" borderId="26" xfId="42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43" fontId="0" fillId="0" borderId="32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26" xfId="42" applyNumberFormat="1" applyFont="1" applyBorder="1" applyAlignment="1">
      <alignment horizontal="center"/>
    </xf>
    <xf numFmtId="43" fontId="0" fillId="0" borderId="16" xfId="42" applyNumberFormat="1" applyFont="1" applyBorder="1" applyAlignment="1">
      <alignment horizontal="center"/>
    </xf>
    <xf numFmtId="174" fontId="0" fillId="0" borderId="26" xfId="0" applyNumberFormat="1" applyFont="1" applyBorder="1" applyAlignment="1">
      <alignment horizontal="center"/>
    </xf>
    <xf numFmtId="174" fontId="0" fillId="0" borderId="38" xfId="0" applyNumberFormat="1" applyFont="1" applyBorder="1" applyAlignment="1">
      <alignment/>
    </xf>
    <xf numFmtId="43" fontId="0" fillId="0" borderId="38" xfId="42" applyNumberFormat="1" applyFont="1" applyBorder="1" applyAlignment="1">
      <alignment/>
    </xf>
    <xf numFmtId="172" fontId="0" fillId="0" borderId="26" xfId="42" applyNumberFormat="1" applyFont="1" applyBorder="1" applyAlignment="1">
      <alignment horizontal="center"/>
    </xf>
    <xf numFmtId="174" fontId="26" fillId="0" borderId="38" xfId="0" applyNumberFormat="1" applyFont="1" applyBorder="1" applyAlignment="1">
      <alignment/>
    </xf>
    <xf numFmtId="174" fontId="0" fillId="0" borderId="38" xfId="42" applyNumberFormat="1" applyFont="1" applyBorder="1" applyAlignment="1">
      <alignment/>
    </xf>
    <xf numFmtId="174" fontId="17" fillId="0" borderId="38" xfId="0" applyNumberFormat="1" applyFont="1" applyBorder="1" applyAlignment="1">
      <alignment/>
    </xf>
    <xf numFmtId="174" fontId="28" fillId="0" borderId="38" xfId="0" applyNumberFormat="1" applyFont="1" applyBorder="1" applyAlignment="1">
      <alignment/>
    </xf>
    <xf numFmtId="0" fontId="17" fillId="0" borderId="2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172" fontId="0" fillId="0" borderId="30" xfId="42" applyNumberFormat="1" applyFont="1" applyBorder="1" applyAlignment="1">
      <alignment horizontal="center"/>
    </xf>
    <xf numFmtId="43" fontId="0" fillId="0" borderId="30" xfId="42" applyNumberFormat="1" applyFont="1" applyBorder="1" applyAlignment="1">
      <alignment horizontal="center"/>
    </xf>
    <xf numFmtId="172" fontId="0" fillId="0" borderId="31" xfId="42" applyNumberFormat="1" applyFont="1" applyBorder="1" applyAlignment="1">
      <alignment horizontal="center"/>
    </xf>
    <xf numFmtId="43" fontId="0" fillId="0" borderId="38" xfId="0" applyNumberFormat="1" applyFont="1" applyBorder="1" applyAlignment="1">
      <alignment/>
    </xf>
    <xf numFmtId="43" fontId="0" fillId="0" borderId="0" xfId="0" applyNumberFormat="1" applyAlignment="1">
      <alignment/>
    </xf>
    <xf numFmtId="0" fontId="18" fillId="0" borderId="25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72" fontId="0" fillId="0" borderId="30" xfId="0" applyNumberFormat="1" applyFont="1" applyBorder="1" applyAlignment="1">
      <alignment horizontal="center"/>
    </xf>
    <xf numFmtId="172" fontId="0" fillId="0" borderId="3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3" fontId="0" fillId="0" borderId="0" xfId="42" applyNumberFormat="1" applyFont="1" applyBorder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2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3" fontId="0" fillId="0" borderId="0" xfId="42" applyFont="1" applyAlignment="1">
      <alignment/>
    </xf>
    <xf numFmtId="0" fontId="17" fillId="0" borderId="37" xfId="0" applyFont="1" applyBorder="1" applyAlignment="1">
      <alignment horizontal="center"/>
    </xf>
    <xf numFmtId="43" fontId="16" fillId="0" borderId="29" xfId="42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16" fillId="0" borderId="16" xfId="42" applyFont="1" applyBorder="1" applyAlignment="1">
      <alignment horizontal="center"/>
    </xf>
    <xf numFmtId="43" fontId="16" fillId="0" borderId="17" xfId="42" applyFont="1" applyBorder="1" applyAlignment="1">
      <alignment horizontal="center"/>
    </xf>
    <xf numFmtId="0" fontId="17" fillId="0" borderId="28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43" fontId="16" fillId="0" borderId="31" xfId="42" applyFont="1" applyBorder="1" applyAlignment="1">
      <alignment horizontal="center"/>
    </xf>
    <xf numFmtId="43" fontId="16" fillId="0" borderId="50" xfId="42" applyFont="1" applyBorder="1" applyAlignment="1">
      <alignment horizontal="center"/>
    </xf>
    <xf numFmtId="43" fontId="18" fillId="0" borderId="51" xfId="42" applyFont="1" applyBorder="1" applyAlignment="1">
      <alignment horizontal="center"/>
    </xf>
    <xf numFmtId="43" fontId="16" fillId="0" borderId="33" xfId="42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3" fontId="0" fillId="0" borderId="63" xfId="42" applyFont="1" applyBorder="1" applyAlignment="1">
      <alignment horizontal="center"/>
    </xf>
    <xf numFmtId="43" fontId="0" fillId="0" borderId="18" xfId="42" applyFont="1" applyBorder="1" applyAlignment="1">
      <alignment horizontal="center"/>
    </xf>
    <xf numFmtId="43" fontId="0" fillId="0" borderId="64" xfId="42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65" xfId="42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25" xfId="0" applyBorder="1" applyAlignment="1">
      <alignment horizontal="left"/>
    </xf>
    <xf numFmtId="41" fontId="10" fillId="0" borderId="67" xfId="43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/>
    </xf>
    <xf numFmtId="0" fontId="0" fillId="0" borderId="68" xfId="0" applyBorder="1" applyAlignment="1">
      <alignment/>
    </xf>
    <xf numFmtId="0" fontId="18" fillId="0" borderId="25" xfId="0" applyFont="1" applyBorder="1" applyAlignment="1">
      <alignment horizontal="center"/>
    </xf>
    <xf numFmtId="43" fontId="18" fillId="0" borderId="26" xfId="42" applyFont="1" applyBorder="1" applyAlignment="1">
      <alignment/>
    </xf>
    <xf numFmtId="43" fontId="18" fillId="0" borderId="16" xfId="42" applyFont="1" applyBorder="1" applyAlignment="1">
      <alignment/>
    </xf>
    <xf numFmtId="0" fontId="17" fillId="0" borderId="0" xfId="0" applyFont="1" applyAlignment="1">
      <alignment/>
    </xf>
    <xf numFmtId="43" fontId="17" fillId="0" borderId="42" xfId="42" applyFont="1" applyBorder="1" applyAlignment="1">
      <alignment/>
    </xf>
    <xf numFmtId="0" fontId="19" fillId="0" borderId="28" xfId="0" applyFont="1" applyBorder="1" applyAlignment="1">
      <alignment horizontal="left"/>
    </xf>
    <xf numFmtId="0" fontId="17" fillId="0" borderId="36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8" xfId="0" applyFont="1" applyBorder="1" applyAlignment="1">
      <alignment horizontal="center"/>
    </xf>
    <xf numFmtId="0" fontId="0" fillId="0" borderId="42" xfId="0" applyBorder="1" applyAlignment="1">
      <alignment/>
    </xf>
    <xf numFmtId="43" fontId="17" fillId="0" borderId="41" xfId="42" applyFont="1" applyBorder="1" applyAlignment="1">
      <alignment horizontal="left"/>
    </xf>
    <xf numFmtId="43" fontId="17" fillId="0" borderId="42" xfId="42" applyFont="1" applyBorder="1" applyAlignment="1">
      <alignment horizontal="center"/>
    </xf>
    <xf numFmtId="43" fontId="17" fillId="0" borderId="43" xfId="42" applyFont="1" applyBorder="1" applyAlignment="1">
      <alignment horizontal="center"/>
    </xf>
    <xf numFmtId="43" fontId="17" fillId="0" borderId="38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43" fontId="17" fillId="0" borderId="16" xfId="42" applyFont="1" applyBorder="1" applyAlignment="1">
      <alignment horizontal="center"/>
    </xf>
    <xf numFmtId="43" fontId="17" fillId="0" borderId="16" xfId="0" applyNumberFormat="1" applyFont="1" applyBorder="1" applyAlignment="1">
      <alignment horizontal="center"/>
    </xf>
    <xf numFmtId="43" fontId="18" fillId="0" borderId="38" xfId="42" applyFont="1" applyBorder="1" applyAlignment="1">
      <alignment horizontal="center"/>
    </xf>
    <xf numFmtId="175" fontId="0" fillId="0" borderId="26" xfId="42" applyNumberFormat="1" applyFont="1" applyBorder="1" applyAlignment="1">
      <alignment horizontal="center"/>
    </xf>
    <xf numFmtId="43" fontId="17" fillId="0" borderId="47" xfId="42" applyFont="1" applyBorder="1" applyAlignment="1">
      <alignment horizontal="center"/>
    </xf>
    <xf numFmtId="43" fontId="0" fillId="0" borderId="48" xfId="42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74" fontId="0" fillId="0" borderId="26" xfId="42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19" fillId="0" borderId="16" xfId="42" applyFont="1" applyBorder="1" applyAlignment="1">
      <alignment horizontal="center"/>
    </xf>
    <xf numFmtId="43" fontId="19" fillId="0" borderId="16" xfId="0" applyNumberFormat="1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43" fontId="17" fillId="0" borderId="30" xfId="42" applyFont="1" applyBorder="1" applyAlignment="1">
      <alignment horizontal="center"/>
    </xf>
    <xf numFmtId="43" fontId="19" fillId="0" borderId="31" xfId="42" applyFont="1" applyBorder="1" applyAlignment="1">
      <alignment horizontal="center"/>
    </xf>
    <xf numFmtId="43" fontId="0" fillId="0" borderId="31" xfId="0" applyNumberFormat="1" applyBorder="1" applyAlignment="1">
      <alignment horizontal="center"/>
    </xf>
    <xf numFmtId="43" fontId="0" fillId="0" borderId="32" xfId="42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43" fontId="17" fillId="0" borderId="35" xfId="42" applyFont="1" applyBorder="1" applyAlignment="1">
      <alignment horizontal="center"/>
    </xf>
    <xf numFmtId="43" fontId="19" fillId="0" borderId="36" xfId="42" applyFont="1" applyBorder="1" applyAlignment="1">
      <alignment horizontal="center"/>
    </xf>
    <xf numFmtId="43" fontId="0" fillId="0" borderId="40" xfId="42" applyFont="1" applyBorder="1" applyAlignment="1">
      <alignment horizontal="center"/>
    </xf>
    <xf numFmtId="43" fontId="0" fillId="0" borderId="44" xfId="42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43" fontId="17" fillId="0" borderId="26" xfId="0" applyNumberFormat="1" applyFont="1" applyBorder="1" applyAlignment="1">
      <alignment horizontal="center"/>
    </xf>
    <xf numFmtId="172" fontId="0" fillId="0" borderId="26" xfId="42" applyNumberFormat="1" applyFont="1" applyBorder="1" applyAlignment="1">
      <alignment/>
    </xf>
    <xf numFmtId="174" fontId="0" fillId="0" borderId="16" xfId="42" applyNumberFormat="1" applyFont="1" applyBorder="1" applyAlignment="1">
      <alignment/>
    </xf>
    <xf numFmtId="43" fontId="0" fillId="0" borderId="26" xfId="42" applyFont="1" applyBorder="1" applyAlignment="1">
      <alignment/>
    </xf>
    <xf numFmtId="170" fontId="17" fillId="0" borderId="26" xfId="43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173" fontId="0" fillId="0" borderId="42" xfId="42" applyNumberFormat="1" applyFont="1" applyBorder="1" applyAlignment="1">
      <alignment/>
    </xf>
    <xf numFmtId="173" fontId="0" fillId="0" borderId="26" xfId="42" applyNumberFormat="1" applyFont="1" applyBorder="1" applyAlignment="1">
      <alignment/>
    </xf>
    <xf numFmtId="172" fontId="0" fillId="0" borderId="42" xfId="42" applyNumberFormat="1" applyFont="1" applyBorder="1" applyAlignment="1">
      <alignment/>
    </xf>
    <xf numFmtId="43" fontId="17" fillId="0" borderId="47" xfId="42" applyFont="1" applyBorder="1" applyAlignment="1">
      <alignment/>
    </xf>
    <xf numFmtId="172" fontId="0" fillId="0" borderId="47" xfId="42" applyNumberFormat="1" applyFont="1" applyBorder="1" applyAlignment="1">
      <alignment/>
    </xf>
    <xf numFmtId="173" fontId="0" fillId="0" borderId="30" xfId="42" applyNumberFormat="1" applyFont="1" applyBorder="1" applyAlignment="1">
      <alignment/>
    </xf>
    <xf numFmtId="43" fontId="0" fillId="0" borderId="47" xfId="42" applyNumberFormat="1" applyFont="1" applyBorder="1" applyAlignment="1">
      <alignment/>
    </xf>
    <xf numFmtId="173" fontId="0" fillId="0" borderId="30" xfId="42" applyNumberFormat="1" applyFont="1" applyBorder="1" applyAlignment="1">
      <alignment horizontal="center"/>
    </xf>
    <xf numFmtId="173" fontId="0" fillId="0" borderId="0" xfId="42" applyNumberFormat="1" applyFont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43" fontId="0" fillId="0" borderId="46" xfId="0" applyNumberForma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43" fontId="17" fillId="0" borderId="46" xfId="42" applyFont="1" applyBorder="1" applyAlignment="1">
      <alignment horizontal="center"/>
    </xf>
    <xf numFmtId="0" fontId="0" fillId="0" borderId="25" xfId="0" applyBorder="1" applyAlignment="1">
      <alignment/>
    </xf>
    <xf numFmtId="43" fontId="18" fillId="0" borderId="38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0" fontId="0" fillId="0" borderId="26" xfId="0" applyBorder="1" applyAlignment="1">
      <alignment horizontal="right"/>
    </xf>
    <xf numFmtId="172" fontId="0" fillId="33" borderId="48" xfId="42" applyNumberFormat="1" applyFont="1" applyFill="1" applyBorder="1" applyAlignment="1">
      <alignment/>
    </xf>
    <xf numFmtId="43" fontId="0" fillId="0" borderId="48" xfId="0" applyNumberFormat="1" applyBorder="1" applyAlignment="1">
      <alignment horizontal="center"/>
    </xf>
    <xf numFmtId="0" fontId="0" fillId="0" borderId="71" xfId="0" applyBorder="1" applyAlignment="1">
      <alignment horizontal="left"/>
    </xf>
    <xf numFmtId="0" fontId="16" fillId="0" borderId="71" xfId="0" applyFont="1" applyBorder="1" applyAlignment="1">
      <alignment horizontal="left"/>
    </xf>
    <xf numFmtId="41" fontId="0" fillId="0" borderId="0" xfId="43" applyFont="1" applyAlignment="1">
      <alignment/>
    </xf>
    <xf numFmtId="170" fontId="0" fillId="0" borderId="42" xfId="43" applyNumberFormat="1" applyFont="1" applyBorder="1" applyAlignment="1">
      <alignment/>
    </xf>
    <xf numFmtId="170" fontId="0" fillId="0" borderId="43" xfId="43" applyNumberFormat="1" applyFont="1" applyBorder="1" applyAlignment="1">
      <alignment/>
    </xf>
    <xf numFmtId="170" fontId="0" fillId="0" borderId="44" xfId="43" applyNumberFormat="1" applyFont="1" applyBorder="1" applyAlignment="1">
      <alignment/>
    </xf>
    <xf numFmtId="0" fontId="0" fillId="0" borderId="44" xfId="0" applyBorder="1" applyAlignment="1">
      <alignment horizontal="center"/>
    </xf>
    <xf numFmtId="170" fontId="18" fillId="0" borderId="47" xfId="43" applyNumberFormat="1" applyFont="1" applyBorder="1" applyAlignment="1">
      <alignment/>
    </xf>
    <xf numFmtId="170" fontId="0" fillId="0" borderId="47" xfId="43" applyNumberFormat="1" applyFont="1" applyBorder="1" applyAlignment="1">
      <alignment/>
    </xf>
    <xf numFmtId="170" fontId="0" fillId="0" borderId="46" xfId="43" applyNumberFormat="1" applyFont="1" applyBorder="1" applyAlignment="1">
      <alignment/>
    </xf>
    <xf numFmtId="170" fontId="0" fillId="0" borderId="48" xfId="43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17" fillId="0" borderId="26" xfId="0" applyFont="1" applyBorder="1" applyAlignment="1">
      <alignment/>
    </xf>
    <xf numFmtId="174" fontId="0" fillId="0" borderId="26" xfId="42" applyNumberFormat="1" applyFont="1" applyBorder="1" applyAlignment="1">
      <alignment horizontal="center"/>
    </xf>
    <xf numFmtId="0" fontId="0" fillId="0" borderId="26" xfId="0" applyBorder="1" applyAlignment="1" quotePrefix="1">
      <alignment horizontal="center"/>
    </xf>
    <xf numFmtId="3" fontId="0" fillId="0" borderId="30" xfId="0" applyNumberFormat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29" fillId="0" borderId="37" xfId="0" applyFont="1" applyBorder="1" applyAlignment="1">
      <alignment/>
    </xf>
    <xf numFmtId="0" fontId="19" fillId="0" borderId="25" xfId="0" applyFont="1" applyBorder="1" applyAlignment="1">
      <alignment horizontal="center"/>
    </xf>
    <xf numFmtId="43" fontId="19" fillId="0" borderId="26" xfId="42" applyFont="1" applyBorder="1" applyAlignment="1">
      <alignment horizontal="center"/>
    </xf>
    <xf numFmtId="174" fontId="18" fillId="0" borderId="26" xfId="0" applyNumberFormat="1" applyFont="1" applyBorder="1" applyAlignment="1">
      <alignment horizontal="center"/>
    </xf>
    <xf numFmtId="174" fontId="17" fillId="0" borderId="26" xfId="0" applyNumberFormat="1" applyFont="1" applyBorder="1" applyAlignment="1">
      <alignment horizontal="center"/>
    </xf>
    <xf numFmtId="174" fontId="30" fillId="0" borderId="26" xfId="0" applyNumberFormat="1" applyFont="1" applyBorder="1" applyAlignment="1">
      <alignment horizontal="center"/>
    </xf>
    <xf numFmtId="43" fontId="0" fillId="0" borderId="43" xfId="42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3" fontId="0" fillId="0" borderId="42" xfId="42" applyNumberFormat="1" applyFont="1" applyBorder="1" applyAlignment="1">
      <alignment horizontal="center"/>
    </xf>
    <xf numFmtId="174" fontId="0" fillId="0" borderId="42" xfId="0" applyNumberFormat="1" applyFont="1" applyBorder="1" applyAlignment="1">
      <alignment horizontal="center"/>
    </xf>
    <xf numFmtId="174" fontId="0" fillId="0" borderId="44" xfId="42" applyNumberFormat="1" applyFont="1" applyBorder="1" applyAlignment="1">
      <alignment/>
    </xf>
    <xf numFmtId="0" fontId="0" fillId="0" borderId="41" xfId="0" applyFont="1" applyBorder="1" applyAlignment="1">
      <alignment horizontal="left"/>
    </xf>
    <xf numFmtId="43" fontId="0" fillId="0" borderId="44" xfId="42" applyNumberFormat="1" applyFont="1" applyBorder="1" applyAlignment="1">
      <alignment/>
    </xf>
    <xf numFmtId="0" fontId="0" fillId="0" borderId="23" xfId="0" applyBorder="1" applyAlignment="1">
      <alignment horizontal="left"/>
    </xf>
    <xf numFmtId="43" fontId="0" fillId="0" borderId="46" xfId="42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3" fontId="0" fillId="0" borderId="47" xfId="42" applyNumberFormat="1" applyFont="1" applyBorder="1" applyAlignment="1">
      <alignment horizontal="center"/>
    </xf>
    <xf numFmtId="174" fontId="0" fillId="0" borderId="47" xfId="0" applyNumberFormat="1" applyFont="1" applyBorder="1" applyAlignment="1">
      <alignment horizontal="center"/>
    </xf>
    <xf numFmtId="174" fontId="0" fillId="0" borderId="48" xfId="42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43" fontId="0" fillId="0" borderId="48" xfId="42" applyNumberFormat="1" applyFont="1" applyBorder="1" applyAlignment="1">
      <alignment/>
    </xf>
    <xf numFmtId="174" fontId="18" fillId="0" borderId="38" xfId="0" applyNumberFormat="1" applyFont="1" applyBorder="1" applyAlignment="1">
      <alignment/>
    </xf>
    <xf numFmtId="16" fontId="0" fillId="0" borderId="0" xfId="0" applyNumberFormat="1" applyAlignment="1">
      <alignment/>
    </xf>
    <xf numFmtId="43" fontId="17" fillId="0" borderId="38" xfId="0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5" xfId="0" applyFont="1" applyBorder="1" applyAlignment="1">
      <alignment horizontal="right"/>
    </xf>
    <xf numFmtId="2" fontId="0" fillId="0" borderId="38" xfId="0" applyNumberFormat="1" applyBorder="1" applyAlignment="1">
      <alignment horizontal="center"/>
    </xf>
    <xf numFmtId="0" fontId="22" fillId="0" borderId="25" xfId="0" applyFont="1" applyBorder="1" applyAlignment="1">
      <alignment/>
    </xf>
    <xf numFmtId="0" fontId="17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43" fontId="0" fillId="0" borderId="17" xfId="42" applyFont="1" applyBorder="1" applyAlignment="1">
      <alignment horizontal="center"/>
    </xf>
    <xf numFmtId="0" fontId="17" fillId="0" borderId="41" xfId="0" applyFont="1" applyBorder="1" applyAlignment="1">
      <alignment/>
    </xf>
    <xf numFmtId="170" fontId="19" fillId="0" borderId="26" xfId="43" applyNumberFormat="1" applyFont="1" applyBorder="1" applyAlignment="1">
      <alignment/>
    </xf>
    <xf numFmtId="174" fontId="31" fillId="0" borderId="38" xfId="0" applyNumberFormat="1" applyFont="1" applyBorder="1" applyAlignment="1">
      <alignment/>
    </xf>
    <xf numFmtId="174" fontId="31" fillId="0" borderId="26" xfId="0" applyNumberFormat="1" applyFont="1" applyBorder="1" applyAlignment="1">
      <alignment horizontal="center"/>
    </xf>
    <xf numFmtId="174" fontId="31" fillId="0" borderId="38" xfId="42" applyNumberFormat="1" applyFont="1" applyBorder="1" applyAlignment="1">
      <alignment/>
    </xf>
    <xf numFmtId="174" fontId="19" fillId="0" borderId="38" xfId="0" applyNumberFormat="1" applyFont="1" applyBorder="1" applyAlignment="1">
      <alignment/>
    </xf>
    <xf numFmtId="0" fontId="0" fillId="0" borderId="71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47" xfId="0" applyBorder="1" applyAlignment="1">
      <alignment/>
    </xf>
    <xf numFmtId="174" fontId="28" fillId="0" borderId="48" xfId="0" applyNumberFormat="1" applyFont="1" applyBorder="1" applyAlignment="1">
      <alignment/>
    </xf>
    <xf numFmtId="174" fontId="0" fillId="0" borderId="26" xfId="0" applyNumberFormat="1" applyBorder="1" applyAlignment="1">
      <alignment horizontal="center"/>
    </xf>
    <xf numFmtId="174" fontId="0" fillId="0" borderId="26" xfId="0" applyNumberFormat="1" applyBorder="1" applyAlignment="1">
      <alignment/>
    </xf>
    <xf numFmtId="0" fontId="0" fillId="0" borderId="69" xfId="0" applyFont="1" applyBorder="1" applyAlignment="1">
      <alignment horizontal="left"/>
    </xf>
    <xf numFmtId="174" fontId="28" fillId="0" borderId="44" xfId="0" applyNumberFormat="1" applyFont="1" applyBorder="1" applyAlignment="1">
      <alignment/>
    </xf>
    <xf numFmtId="0" fontId="0" fillId="0" borderId="70" xfId="0" applyBorder="1" applyAlignment="1">
      <alignment horizontal="left"/>
    </xf>
    <xf numFmtId="179" fontId="0" fillId="0" borderId="47" xfId="0" applyNumberFormat="1" applyBorder="1" applyAlignment="1">
      <alignment/>
    </xf>
    <xf numFmtId="174" fontId="17" fillId="0" borderId="38" xfId="42" applyNumberFormat="1" applyFont="1" applyBorder="1" applyAlignment="1">
      <alignment/>
    </xf>
    <xf numFmtId="0" fontId="18" fillId="0" borderId="23" xfId="0" applyFont="1" applyBorder="1" applyAlignment="1">
      <alignment horizontal="left"/>
    </xf>
    <xf numFmtId="0" fontId="18" fillId="0" borderId="47" xfId="0" applyFont="1" applyBorder="1" applyAlignment="1">
      <alignment horizontal="center"/>
    </xf>
    <xf numFmtId="174" fontId="17" fillId="0" borderId="47" xfId="0" applyNumberFormat="1" applyFont="1" applyBorder="1" applyAlignment="1">
      <alignment horizontal="center"/>
    </xf>
    <xf numFmtId="174" fontId="17" fillId="0" borderId="48" xfId="0" applyNumberFormat="1" applyFont="1" applyBorder="1" applyAlignment="1">
      <alignment/>
    </xf>
    <xf numFmtId="43" fontId="17" fillId="0" borderId="16" xfId="42" applyNumberFormat="1" applyFont="1" applyBorder="1" applyAlignment="1">
      <alignment horizontal="center"/>
    </xf>
    <xf numFmtId="43" fontId="17" fillId="0" borderId="26" xfId="42" applyNumberFormat="1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8" fillId="0" borderId="42" xfId="0" applyFont="1" applyBorder="1" applyAlignment="1">
      <alignment horizontal="center"/>
    </xf>
    <xf numFmtId="174" fontId="17" fillId="0" borderId="42" xfId="0" applyNumberFormat="1" applyFont="1" applyBorder="1" applyAlignment="1">
      <alignment horizontal="center"/>
    </xf>
    <xf numFmtId="174" fontId="17" fillId="0" borderId="44" xfId="0" applyNumberFormat="1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43" fontId="0" fillId="0" borderId="43" xfId="42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17" fillId="0" borderId="72" xfId="0" applyFont="1" applyBorder="1" applyAlignment="1">
      <alignment horizontal="left"/>
    </xf>
    <xf numFmtId="43" fontId="0" fillId="0" borderId="73" xfId="42" applyFont="1" applyBorder="1" applyAlignment="1">
      <alignment/>
    </xf>
    <xf numFmtId="43" fontId="0" fillId="0" borderId="74" xfId="0" applyNumberFormat="1" applyBorder="1" applyAlignment="1">
      <alignment/>
    </xf>
    <xf numFmtId="43" fontId="0" fillId="0" borderId="57" xfId="42" applyFont="1" applyBorder="1" applyAlignment="1">
      <alignment horizontal="center"/>
    </xf>
    <xf numFmtId="170" fontId="19" fillId="0" borderId="26" xfId="43" applyNumberFormat="1" applyFont="1" applyBorder="1" applyAlignment="1">
      <alignment/>
    </xf>
    <xf numFmtId="0" fontId="22" fillId="0" borderId="23" xfId="0" applyFont="1" applyBorder="1" applyAlignment="1">
      <alignment/>
    </xf>
    <xf numFmtId="0" fontId="17" fillId="0" borderId="25" xfId="0" applyFont="1" applyBorder="1" applyAlignment="1">
      <alignment/>
    </xf>
    <xf numFmtId="170" fontId="17" fillId="0" borderId="26" xfId="43" applyNumberFormat="1" applyFont="1" applyBorder="1" applyAlignment="1">
      <alignment/>
    </xf>
    <xf numFmtId="174" fontId="27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174" fontId="0" fillId="0" borderId="0" xfId="0" applyNumberFormat="1" applyAlignment="1">
      <alignment/>
    </xf>
    <xf numFmtId="174" fontId="18" fillId="0" borderId="38" xfId="42" applyNumberFormat="1" applyFont="1" applyBorder="1" applyAlignment="1">
      <alignment/>
    </xf>
    <xf numFmtId="174" fontId="18" fillId="0" borderId="0" xfId="0" applyNumberFormat="1" applyFont="1" applyAlignment="1">
      <alignment/>
    </xf>
    <xf numFmtId="174" fontId="18" fillId="0" borderId="48" xfId="42" applyNumberFormat="1" applyFont="1" applyBorder="1" applyAlignment="1">
      <alignment/>
    </xf>
    <xf numFmtId="43" fontId="27" fillId="0" borderId="26" xfId="42" applyFont="1" applyBorder="1" applyAlignment="1">
      <alignment horizontal="center"/>
    </xf>
    <xf numFmtId="16" fontId="0" fillId="0" borderId="25" xfId="0" applyNumberFormat="1" applyBorder="1" applyAlignment="1">
      <alignment horizontal="center"/>
    </xf>
    <xf numFmtId="43" fontId="0" fillId="0" borderId="58" xfId="42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8" fillId="0" borderId="68" xfId="0" applyFont="1" applyBorder="1" applyAlignment="1">
      <alignment/>
    </xf>
    <xf numFmtId="43" fontId="18" fillId="0" borderId="42" xfId="42" applyFont="1" applyBorder="1" applyAlignment="1">
      <alignment/>
    </xf>
    <xf numFmtId="43" fontId="18" fillId="0" borderId="43" xfId="42" applyFont="1" applyBorder="1" applyAlignment="1">
      <alignment/>
    </xf>
    <xf numFmtId="41" fontId="10" fillId="0" borderId="75" xfId="43" applyFont="1" applyFill="1" applyBorder="1" applyAlignment="1" applyProtection="1">
      <alignment horizontal="left" vertical="center"/>
      <protection/>
    </xf>
    <xf numFmtId="0" fontId="22" fillId="0" borderId="2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9" xfId="0" applyBorder="1" applyAlignment="1">
      <alignment/>
    </xf>
    <xf numFmtId="170" fontId="0" fillId="0" borderId="16" xfId="0" applyNumberFormat="1" applyBorder="1" applyAlignment="1">
      <alignment/>
    </xf>
    <xf numFmtId="170" fontId="0" fillId="0" borderId="38" xfId="0" applyNumberFormat="1" applyBorder="1" applyAlignment="1">
      <alignment/>
    </xf>
    <xf numFmtId="0" fontId="17" fillId="0" borderId="28" xfId="0" applyFont="1" applyBorder="1" applyAlignment="1">
      <alignment horizontal="center"/>
    </xf>
    <xf numFmtId="170" fontId="19" fillId="0" borderId="30" xfId="43" applyNumberFormat="1" applyFont="1" applyBorder="1" applyAlignment="1">
      <alignment/>
    </xf>
    <xf numFmtId="43" fontId="19" fillId="0" borderId="30" xfId="0" applyNumberFormat="1" applyFont="1" applyBorder="1" applyAlignment="1">
      <alignment horizontal="center"/>
    </xf>
    <xf numFmtId="170" fontId="0" fillId="0" borderId="30" xfId="43" applyNumberFormat="1" applyFont="1" applyBorder="1" applyAlignment="1">
      <alignment/>
    </xf>
    <xf numFmtId="170" fontId="0" fillId="0" borderId="31" xfId="43" applyNumberFormat="1" applyFont="1" applyBorder="1" applyAlignment="1">
      <alignment/>
    </xf>
    <xf numFmtId="170" fontId="0" fillId="0" borderId="32" xfId="43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28" xfId="0" applyBorder="1" applyAlignment="1">
      <alignment horizontal="left"/>
    </xf>
    <xf numFmtId="0" fontId="0" fillId="0" borderId="52" xfId="0" applyBorder="1" applyAlignment="1">
      <alignment horizontal="center"/>
    </xf>
    <xf numFmtId="43" fontId="0" fillId="0" borderId="79" xfId="0" applyNumberFormat="1" applyBorder="1" applyAlignment="1">
      <alignment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2" fontId="0" fillId="0" borderId="66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180" fontId="0" fillId="0" borderId="0" xfId="0" applyNumberFormat="1" applyAlignment="1">
      <alignment/>
    </xf>
    <xf numFmtId="41" fontId="2" fillId="0" borderId="0" xfId="43" applyFont="1" applyFill="1" applyAlignment="1" applyProtection="1">
      <alignment horizontal="left" vertical="center"/>
      <protection/>
    </xf>
    <xf numFmtId="41" fontId="2" fillId="0" borderId="82" xfId="43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35" fillId="0" borderId="1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66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83" xfId="0" applyFont="1" applyBorder="1" applyAlignment="1">
      <alignment horizontal="left" vertical="center" indent="1"/>
    </xf>
    <xf numFmtId="0" fontId="21" fillId="0" borderId="84" xfId="0" applyFont="1" applyBorder="1" applyAlignment="1">
      <alignment horizontal="left" vertical="center" indent="1"/>
    </xf>
    <xf numFmtId="0" fontId="21" fillId="0" borderId="85" xfId="0" applyFont="1" applyBorder="1" applyAlignment="1">
      <alignment vertical="center"/>
    </xf>
    <xf numFmtId="0" fontId="21" fillId="0" borderId="86" xfId="0" applyFont="1" applyBorder="1" applyAlignment="1">
      <alignment vertical="center"/>
    </xf>
    <xf numFmtId="0" fontId="21" fillId="0" borderId="83" xfId="0" applyFont="1" applyBorder="1" applyAlignment="1">
      <alignment vertical="center"/>
    </xf>
    <xf numFmtId="0" fontId="21" fillId="0" borderId="87" xfId="0" applyFont="1" applyBorder="1" applyAlignment="1">
      <alignment horizontal="left" vertical="center" indent="1"/>
    </xf>
    <xf numFmtId="0" fontId="21" fillId="0" borderId="88" xfId="0" applyFont="1" applyBorder="1" applyAlignment="1">
      <alignment horizontal="left" vertical="center" indent="1"/>
    </xf>
    <xf numFmtId="0" fontId="21" fillId="0" borderId="89" xfId="0" applyFont="1" applyBorder="1" applyAlignment="1">
      <alignment vertical="center"/>
    </xf>
    <xf numFmtId="0" fontId="21" fillId="0" borderId="90" xfId="0" applyFont="1" applyBorder="1" applyAlignment="1">
      <alignment vertical="center"/>
    </xf>
    <xf numFmtId="0" fontId="21" fillId="0" borderId="87" xfId="0" applyFont="1" applyBorder="1" applyAlignment="1">
      <alignment vertical="center"/>
    </xf>
    <xf numFmtId="0" fontId="21" fillId="0" borderId="88" xfId="0" applyFont="1" applyBorder="1" applyAlignment="1">
      <alignment vertical="center"/>
    </xf>
    <xf numFmtId="0" fontId="21" fillId="0" borderId="91" xfId="0" applyFont="1" applyBorder="1" applyAlignment="1">
      <alignment vertical="center"/>
    </xf>
    <xf numFmtId="0" fontId="21" fillId="0" borderId="92" xfId="0" applyFont="1" applyBorder="1" applyAlignment="1">
      <alignment vertical="center"/>
    </xf>
    <xf numFmtId="0" fontId="21" fillId="0" borderId="93" xfId="0" applyFont="1" applyBorder="1" applyAlignment="1">
      <alignment vertical="center"/>
    </xf>
    <xf numFmtId="0" fontId="21" fillId="0" borderId="94" xfId="0" applyFont="1" applyBorder="1" applyAlignment="1">
      <alignment vertical="center"/>
    </xf>
    <xf numFmtId="2" fontId="21" fillId="0" borderId="0" xfId="0" applyNumberFormat="1" applyFont="1" applyAlignment="1">
      <alignment/>
    </xf>
    <xf numFmtId="41" fontId="1" fillId="0" borderId="0" xfId="43" applyFont="1" applyAlignment="1">
      <alignment vertical="center"/>
    </xf>
    <xf numFmtId="41" fontId="1" fillId="0" borderId="0" xfId="43" applyFont="1" applyFill="1" applyBorder="1" applyAlignment="1">
      <alignment vertical="center"/>
    </xf>
    <xf numFmtId="170" fontId="1" fillId="0" borderId="0" xfId="43" applyNumberFormat="1" applyFont="1" applyFill="1" applyBorder="1" applyAlignment="1">
      <alignment vertical="center"/>
    </xf>
    <xf numFmtId="170" fontId="37" fillId="0" borderId="0" xfId="43" applyNumberFormat="1" applyFont="1" applyFill="1" applyBorder="1" applyAlignment="1">
      <alignment vertical="center"/>
    </xf>
    <xf numFmtId="41" fontId="1" fillId="0" borderId="0" xfId="43" applyFont="1" applyBorder="1" applyAlignment="1">
      <alignment vertical="center"/>
    </xf>
    <xf numFmtId="41" fontId="1" fillId="0" borderId="0" xfId="43" applyFont="1" applyAlignment="1" applyProtection="1">
      <alignment vertical="center"/>
      <protection/>
    </xf>
    <xf numFmtId="41" fontId="37" fillId="0" borderId="0" xfId="43" applyFont="1" applyFill="1" applyBorder="1" applyAlignment="1">
      <alignment vertical="center"/>
    </xf>
    <xf numFmtId="41" fontId="1" fillId="0" borderId="0" xfId="43" applyFont="1" applyBorder="1" applyAlignment="1" applyProtection="1">
      <alignment vertical="center"/>
      <protection/>
    </xf>
    <xf numFmtId="170" fontId="37" fillId="34" borderId="49" xfId="43" applyNumberFormat="1" applyFont="1" applyFill="1" applyBorder="1" applyAlignment="1">
      <alignment horizontal="center" vertical="center"/>
    </xf>
    <xf numFmtId="170" fontId="37" fillId="34" borderId="47" xfId="43" applyNumberFormat="1" applyFont="1" applyFill="1" applyBorder="1" applyAlignment="1">
      <alignment horizontal="center" vertical="center"/>
    </xf>
    <xf numFmtId="170" fontId="1" fillId="34" borderId="45" xfId="43" applyNumberFormat="1" applyFont="1" applyFill="1" applyBorder="1" applyAlignment="1">
      <alignment horizontal="center" vertical="center"/>
    </xf>
    <xf numFmtId="170" fontId="1" fillId="34" borderId="42" xfId="43" applyNumberFormat="1" applyFont="1" applyFill="1" applyBorder="1" applyAlignment="1">
      <alignment horizontal="center" vertical="center"/>
    </xf>
    <xf numFmtId="170" fontId="37" fillId="34" borderId="42" xfId="43" applyNumberFormat="1" applyFont="1" applyFill="1" applyBorder="1" applyAlignment="1">
      <alignment horizontal="center" vertical="center"/>
    </xf>
    <xf numFmtId="41" fontId="1" fillId="0" borderId="47" xfId="43" applyFont="1" applyFill="1" applyBorder="1" applyAlignment="1">
      <alignment horizontal="center" vertical="center"/>
    </xf>
    <xf numFmtId="41" fontId="1" fillId="0" borderId="47" xfId="43" applyFont="1" applyFill="1" applyBorder="1" applyAlignment="1">
      <alignment vertical="center"/>
    </xf>
    <xf numFmtId="170" fontId="1" fillId="0" borderId="47" xfId="43" applyNumberFormat="1" applyFont="1" applyFill="1" applyBorder="1" applyAlignment="1">
      <alignment vertical="center"/>
    </xf>
    <xf numFmtId="170" fontId="37" fillId="0" borderId="47" xfId="43" applyNumberFormat="1" applyFont="1" applyFill="1" applyBorder="1" applyAlignment="1">
      <alignment vertical="center"/>
    </xf>
    <xf numFmtId="41" fontId="37" fillId="0" borderId="0" xfId="43" applyFont="1" applyFill="1" applyBorder="1" applyAlignment="1" applyProtection="1">
      <alignment horizontal="left" vertical="center"/>
      <protection/>
    </xf>
    <xf numFmtId="41" fontId="1" fillId="0" borderId="0" xfId="43" applyFont="1" applyFill="1" applyBorder="1" applyAlignment="1" applyProtection="1">
      <alignment horizontal="left" vertical="center"/>
      <protection/>
    </xf>
    <xf numFmtId="170" fontId="1" fillId="0" borderId="0" xfId="43" applyNumberFormat="1" applyFont="1" applyFill="1" applyBorder="1" applyAlignment="1" applyProtection="1">
      <alignment vertical="center"/>
      <protection/>
    </xf>
    <xf numFmtId="41" fontId="37" fillId="0" borderId="0" xfId="43" applyFont="1" applyBorder="1" applyAlignment="1" applyProtection="1">
      <alignment horizontal="left" vertical="center"/>
      <protection/>
    </xf>
    <xf numFmtId="41" fontId="37" fillId="0" borderId="0" xfId="43" applyFont="1" applyBorder="1" applyAlignment="1">
      <alignment vertical="center"/>
    </xf>
    <xf numFmtId="170" fontId="37" fillId="0" borderId="0" xfId="43" applyNumberFormat="1" applyFont="1" applyFill="1" applyBorder="1" applyAlignment="1" applyProtection="1">
      <alignment vertical="center"/>
      <protection/>
    </xf>
    <xf numFmtId="41" fontId="37" fillId="0" borderId="0" xfId="43" applyFont="1" applyBorder="1" applyAlignment="1" applyProtection="1">
      <alignment vertical="center"/>
      <protection/>
    </xf>
    <xf numFmtId="41" fontId="1" fillId="0" borderId="0" xfId="43" applyFont="1" applyBorder="1" applyAlignment="1" applyProtection="1">
      <alignment horizontal="left" vertical="center"/>
      <protection/>
    </xf>
    <xf numFmtId="41" fontId="1" fillId="0" borderId="0" xfId="43" applyFont="1" applyFill="1" applyBorder="1" applyAlignment="1" applyProtection="1">
      <alignment horizontal="center" vertical="center"/>
      <protection/>
    </xf>
    <xf numFmtId="41" fontId="37" fillId="0" borderId="0" xfId="43" applyFont="1" applyFill="1" applyBorder="1" applyAlignment="1" applyProtection="1">
      <alignment horizontal="center" vertical="center"/>
      <protection/>
    </xf>
    <xf numFmtId="170" fontId="1" fillId="0" borderId="0" xfId="43" applyNumberFormat="1" applyFont="1" applyFill="1" applyBorder="1" applyAlignment="1" applyProtection="1">
      <alignment horizontal="left" vertical="center"/>
      <protection/>
    </xf>
    <xf numFmtId="41" fontId="1" fillId="0" borderId="0" xfId="43" applyFont="1" applyAlignment="1" applyProtection="1">
      <alignment horizontal="left" vertical="center"/>
      <protection/>
    </xf>
    <xf numFmtId="41" fontId="37" fillId="0" borderId="0" xfId="43" applyFont="1" applyAlignment="1">
      <alignment vertical="center"/>
    </xf>
    <xf numFmtId="41" fontId="1" fillId="0" borderId="88" xfId="43" applyFont="1" applyBorder="1" applyAlignment="1">
      <alignment vertical="center"/>
    </xf>
    <xf numFmtId="41" fontId="1" fillId="0" borderId="89" xfId="43" applyFont="1" applyFill="1" applyBorder="1" applyAlignment="1" applyProtection="1">
      <alignment horizontal="left" vertical="center"/>
      <protection/>
    </xf>
    <xf numFmtId="0" fontId="1" fillId="0" borderId="89" xfId="0" applyFont="1" applyBorder="1" applyAlignment="1">
      <alignment vertical="center"/>
    </xf>
    <xf numFmtId="41" fontId="1" fillId="0" borderId="89" xfId="43" applyFont="1" applyFill="1" applyBorder="1" applyAlignment="1">
      <alignment vertical="center"/>
    </xf>
    <xf numFmtId="41" fontId="1" fillId="0" borderId="90" xfId="43" applyFont="1" applyFill="1" applyBorder="1" applyAlignment="1">
      <alignment vertical="center"/>
    </xf>
    <xf numFmtId="41" fontId="1" fillId="0" borderId="87" xfId="43" applyFont="1" applyFill="1" applyBorder="1" applyAlignment="1">
      <alignment horizontal="center" vertical="center"/>
    </xf>
    <xf numFmtId="41" fontId="1" fillId="0" borderId="87" xfId="43" applyFont="1" applyFill="1" applyBorder="1" applyAlignment="1" applyProtection="1">
      <alignment horizontal="center" vertical="center"/>
      <protection/>
    </xf>
    <xf numFmtId="176" fontId="1" fillId="0" borderId="87" xfId="43" applyNumberFormat="1" applyFont="1" applyFill="1" applyBorder="1" applyAlignment="1" applyProtection="1">
      <alignment vertical="center"/>
      <protection/>
    </xf>
    <xf numFmtId="41" fontId="1" fillId="0" borderId="89" xfId="43" applyFont="1" applyBorder="1" applyAlignment="1">
      <alignment vertical="center"/>
    </xf>
    <xf numFmtId="41" fontId="1" fillId="0" borderId="90" xfId="43" applyFont="1" applyBorder="1" applyAlignment="1">
      <alignment vertical="center"/>
    </xf>
    <xf numFmtId="41" fontId="1" fillId="0" borderId="87" xfId="43" applyFont="1" applyBorder="1" applyAlignment="1">
      <alignment horizontal="center" vertical="center"/>
    </xf>
    <xf numFmtId="171" fontId="1" fillId="0" borderId="87" xfId="43" applyNumberFormat="1" applyFont="1" applyFill="1" applyBorder="1" applyAlignment="1" applyProtection="1">
      <alignment vertical="center"/>
      <protection/>
    </xf>
    <xf numFmtId="43" fontId="1" fillId="0" borderId="87" xfId="42" applyFont="1" applyBorder="1" applyAlignment="1">
      <alignment vertical="center"/>
    </xf>
    <xf numFmtId="41" fontId="1" fillId="0" borderId="66" xfId="43" applyFont="1" applyFill="1" applyBorder="1" applyAlignment="1">
      <alignment vertical="center"/>
    </xf>
    <xf numFmtId="170" fontId="1" fillId="0" borderId="0" xfId="43" applyNumberFormat="1" applyFont="1" applyAlignment="1">
      <alignment vertical="center"/>
    </xf>
    <xf numFmtId="41" fontId="1" fillId="0" borderId="0" xfId="43" applyFont="1" applyFill="1" applyBorder="1" applyAlignment="1">
      <alignment horizontal="left" vertical="center"/>
    </xf>
    <xf numFmtId="41" fontId="37" fillId="0" borderId="0" xfId="43" applyFont="1" applyFill="1" applyBorder="1" applyAlignment="1">
      <alignment horizontal="left" vertical="center"/>
    </xf>
    <xf numFmtId="41" fontId="37" fillId="0" borderId="0" xfId="43" applyFont="1" applyAlignment="1" applyProtection="1">
      <alignment horizontal="left" vertical="center"/>
      <protection/>
    </xf>
    <xf numFmtId="173" fontId="1" fillId="0" borderId="0" xfId="42" applyNumberFormat="1" applyFont="1" applyAlignment="1">
      <alignment vertical="center"/>
    </xf>
    <xf numFmtId="17" fontId="37" fillId="0" borderId="0" xfId="43" applyNumberFormat="1" applyFont="1" applyAlignment="1" applyProtection="1">
      <alignment horizontal="left" vertical="center"/>
      <protection/>
    </xf>
    <xf numFmtId="41" fontId="1" fillId="0" borderId="95" xfId="43" applyFont="1" applyBorder="1" applyAlignment="1" applyProtection="1">
      <alignment horizontal="left" vertical="center"/>
      <protection/>
    </xf>
    <xf numFmtId="178" fontId="1" fillId="0" borderId="96" xfId="43" applyNumberFormat="1" applyFont="1" applyBorder="1" applyAlignment="1" applyProtection="1">
      <alignment vertical="center"/>
      <protection/>
    </xf>
    <xf numFmtId="41" fontId="1" fillId="0" borderId="97" xfId="43" applyFont="1" applyBorder="1" applyAlignment="1" applyProtection="1">
      <alignment vertical="center"/>
      <protection/>
    </xf>
    <xf numFmtId="41" fontId="1" fillId="0" borderId="98" xfId="43" applyFont="1" applyBorder="1" applyAlignment="1" applyProtection="1">
      <alignment horizontal="left" vertical="center"/>
      <protection/>
    </xf>
    <xf numFmtId="41" fontId="1" fillId="0" borderId="99" xfId="43" applyFont="1" applyBorder="1" applyAlignment="1" applyProtection="1">
      <alignment horizontal="left" vertical="center"/>
      <protection/>
    </xf>
    <xf numFmtId="41" fontId="1" fillId="0" borderId="100" xfId="43" applyFont="1" applyBorder="1" applyAlignment="1" applyProtection="1">
      <alignment vertical="center"/>
      <protection/>
    </xf>
    <xf numFmtId="41" fontId="1" fillId="0" borderId="0" xfId="43" applyFont="1" applyFill="1" applyAlignment="1">
      <alignment vertical="center"/>
    </xf>
    <xf numFmtId="41" fontId="37" fillId="0" borderId="82" xfId="43" applyFont="1" applyFill="1" applyBorder="1" applyAlignment="1">
      <alignment vertical="center"/>
    </xf>
    <xf numFmtId="170" fontId="37" fillId="0" borderId="13" xfId="43" applyNumberFormat="1" applyFont="1" applyFill="1" applyBorder="1" applyAlignment="1" applyProtection="1">
      <alignment horizontal="center" vertical="center"/>
      <protection/>
    </xf>
    <xf numFmtId="178" fontId="1" fillId="0" borderId="0" xfId="43" applyNumberFormat="1" applyFont="1" applyAlignment="1">
      <alignment vertical="center"/>
    </xf>
    <xf numFmtId="171" fontId="1" fillId="0" borderId="0" xfId="43" applyNumberFormat="1" applyFont="1" applyAlignment="1">
      <alignment vertical="center"/>
    </xf>
    <xf numFmtId="41" fontId="1" fillId="0" borderId="0" xfId="43" applyFont="1" applyAlignment="1">
      <alignment horizontal="right" vertical="center"/>
    </xf>
    <xf numFmtId="170" fontId="1" fillId="0" borderId="0" xfId="43" applyNumberFormat="1" applyFont="1" applyBorder="1" applyAlignment="1">
      <alignment vertical="center"/>
    </xf>
    <xf numFmtId="170" fontId="37" fillId="0" borderId="13" xfId="43" applyNumberFormat="1" applyFont="1" applyFill="1" applyBorder="1" applyAlignment="1">
      <alignment vertical="center"/>
    </xf>
    <xf numFmtId="41" fontId="10" fillId="0" borderId="95" xfId="43" applyFont="1" applyFill="1" applyBorder="1" applyAlignment="1">
      <alignment horizontal="center" vertical="center"/>
    </xf>
    <xf numFmtId="41" fontId="10" fillId="0" borderId="82" xfId="43" applyFont="1" applyFill="1" applyBorder="1" applyAlignment="1">
      <alignment horizontal="center" vertical="center"/>
    </xf>
    <xf numFmtId="41" fontId="10" fillId="0" borderId="96" xfId="43" applyFont="1" applyFill="1" applyBorder="1" applyAlignment="1">
      <alignment horizontal="center" vertical="center"/>
    </xf>
    <xf numFmtId="170" fontId="11" fillId="0" borderId="95" xfId="43" applyNumberFormat="1" applyFont="1" applyFill="1" applyBorder="1" applyAlignment="1">
      <alignment horizontal="center" vertical="center"/>
    </xf>
    <xf numFmtId="170" fontId="11" fillId="0" borderId="96" xfId="43" applyNumberFormat="1" applyFont="1" applyFill="1" applyBorder="1" applyAlignment="1">
      <alignment horizontal="center" vertical="center"/>
    </xf>
    <xf numFmtId="41" fontId="10" fillId="0" borderId="101" xfId="43" applyFont="1" applyFill="1" applyBorder="1" applyAlignment="1">
      <alignment vertical="center"/>
    </xf>
    <xf numFmtId="41" fontId="10" fillId="0" borderId="102" xfId="43" applyFont="1" applyFill="1" applyBorder="1" applyAlignment="1">
      <alignment vertical="center"/>
    </xf>
    <xf numFmtId="170" fontId="10" fillId="0" borderId="102" xfId="43" applyNumberFormat="1" applyFont="1" applyFill="1" applyBorder="1" applyAlignment="1" applyProtection="1">
      <alignment horizontal="left" vertical="center"/>
      <protection/>
    </xf>
    <xf numFmtId="170" fontId="10" fillId="0" borderId="103" xfId="43" applyNumberFormat="1" applyFont="1" applyFill="1" applyBorder="1" applyAlignment="1">
      <alignment vertical="center"/>
    </xf>
    <xf numFmtId="41" fontId="11" fillId="0" borderId="13" xfId="43" applyFont="1" applyFill="1" applyBorder="1" applyAlignment="1">
      <alignment horizontal="center" vertical="center"/>
    </xf>
    <xf numFmtId="41" fontId="11" fillId="0" borderId="104" xfId="43" applyFont="1" applyFill="1" applyBorder="1" applyAlignment="1">
      <alignment horizontal="center" vertical="center"/>
    </xf>
    <xf numFmtId="9" fontId="11" fillId="0" borderId="104" xfId="43" applyNumberFormat="1" applyFont="1" applyFill="1" applyBorder="1" applyAlignment="1">
      <alignment horizontal="center" vertical="center"/>
    </xf>
    <xf numFmtId="170" fontId="15" fillId="0" borderId="11" xfId="43" applyNumberFormat="1" applyFont="1" applyFill="1" applyBorder="1" applyAlignment="1">
      <alignment vertical="center"/>
    </xf>
    <xf numFmtId="41" fontId="14" fillId="0" borderId="10" xfId="43" applyFont="1" applyFill="1" applyBorder="1" applyAlignment="1" applyProtection="1">
      <alignment horizontal="left" vertical="center"/>
      <protection/>
    </xf>
    <xf numFmtId="41" fontId="10" fillId="0" borderId="15" xfId="43" applyFont="1" applyFill="1" applyBorder="1" applyAlignment="1" applyProtection="1">
      <alignment horizontal="left" vertical="center"/>
      <protection/>
    </xf>
    <xf numFmtId="170" fontId="10" fillId="0" borderId="14" xfId="43" applyNumberFormat="1" applyFont="1" applyFill="1" applyBorder="1" applyAlignment="1">
      <alignment vertical="center"/>
    </xf>
    <xf numFmtId="170" fontId="10" fillId="0" borderId="14" xfId="43" applyNumberFormat="1" applyFont="1" applyFill="1" applyBorder="1" applyAlignment="1" applyProtection="1">
      <alignment vertical="center"/>
      <protection/>
    </xf>
    <xf numFmtId="170" fontId="15" fillId="0" borderId="14" xfId="43" applyNumberFormat="1" applyFont="1" applyFill="1" applyBorder="1" applyAlignment="1" applyProtection="1">
      <alignment vertical="center"/>
      <protection/>
    </xf>
    <xf numFmtId="9" fontId="11" fillId="0" borderId="13" xfId="43" applyNumberFormat="1" applyFont="1" applyFill="1" applyBorder="1" applyAlignment="1">
      <alignment horizontal="center" vertical="center"/>
    </xf>
    <xf numFmtId="41" fontId="10" fillId="0" borderId="105" xfId="43" applyFont="1" applyFill="1" applyBorder="1" applyAlignment="1">
      <alignment vertical="center"/>
    </xf>
    <xf numFmtId="41" fontId="14" fillId="0" borderId="101" xfId="43" applyFont="1" applyFill="1" applyBorder="1" applyAlignment="1" applyProtection="1" quotePrefix="1">
      <alignment horizontal="left" vertical="center"/>
      <protection/>
    </xf>
    <xf numFmtId="41" fontId="10" fillId="0" borderId="103" xfId="43" applyFont="1" applyFill="1" applyBorder="1" applyAlignment="1">
      <alignment vertical="center"/>
    </xf>
    <xf numFmtId="170" fontId="10" fillId="0" borderId="105" xfId="43" applyNumberFormat="1" applyFont="1" applyFill="1" applyBorder="1" applyAlignment="1">
      <alignment vertical="center"/>
    </xf>
    <xf numFmtId="0" fontId="10" fillId="0" borderId="11" xfId="43" applyNumberFormat="1" applyFont="1" applyFill="1" applyBorder="1" applyAlignment="1" applyProtection="1">
      <alignment horizontal="left" vertical="center" indent="2"/>
      <protection/>
    </xf>
    <xf numFmtId="0" fontId="10" fillId="0" borderId="11" xfId="43" applyNumberFormat="1" applyFont="1" applyFill="1" applyBorder="1" applyAlignment="1">
      <alignment horizontal="left" vertical="center" indent="2"/>
    </xf>
    <xf numFmtId="0" fontId="10" fillId="0" borderId="0" xfId="43" applyNumberFormat="1" applyFont="1" applyFill="1" applyBorder="1" applyAlignment="1">
      <alignment horizontal="left" vertical="center" indent="2"/>
    </xf>
    <xf numFmtId="171" fontId="10" fillId="0" borderId="15" xfId="43" applyNumberFormat="1" applyFont="1" applyFill="1" applyBorder="1" applyAlignment="1">
      <alignment vertical="center"/>
    </xf>
    <xf numFmtId="170" fontId="1" fillId="33" borderId="87" xfId="43" applyNumberFormat="1" applyFont="1" applyFill="1" applyBorder="1" applyAlignment="1" applyProtection="1">
      <alignment vertical="center"/>
      <protection/>
    </xf>
    <xf numFmtId="41" fontId="39" fillId="0" borderId="0" xfId="43" applyFont="1" applyFill="1" applyBorder="1" applyAlignment="1" applyProtection="1">
      <alignment vertical="center"/>
      <protection/>
    </xf>
    <xf numFmtId="41" fontId="38" fillId="0" borderId="46" xfId="43" applyFont="1" applyFill="1" applyBorder="1" applyAlignment="1" applyProtection="1">
      <alignment horizontal="center" vertical="center"/>
      <protection/>
    </xf>
    <xf numFmtId="41" fontId="1" fillId="0" borderId="87" xfId="43" applyFont="1" applyFill="1" applyBorder="1" applyAlignment="1">
      <alignment vertical="center"/>
    </xf>
    <xf numFmtId="41" fontId="37" fillId="0" borderId="87" xfId="43" applyFont="1" applyFill="1" applyBorder="1" applyAlignment="1" applyProtection="1">
      <alignment horizontal="left" vertical="center"/>
      <protection/>
    </xf>
    <xf numFmtId="41" fontId="1" fillId="0" borderId="87" xfId="43" applyFont="1" applyBorder="1" applyAlignment="1">
      <alignment vertical="center"/>
    </xf>
    <xf numFmtId="171" fontId="37" fillId="0" borderId="87" xfId="43" applyNumberFormat="1" applyFont="1" applyFill="1" applyBorder="1" applyAlignment="1" applyProtection="1">
      <alignment horizontal="center" vertical="center"/>
      <protection/>
    </xf>
    <xf numFmtId="41" fontId="37" fillId="0" borderId="87" xfId="43" applyFont="1" applyFill="1" applyBorder="1" applyAlignment="1" applyProtection="1">
      <alignment horizontal="center" vertical="center"/>
      <protection/>
    </xf>
    <xf numFmtId="170" fontId="1" fillId="0" borderId="87" xfId="43" applyNumberFormat="1" applyFont="1" applyFill="1" applyBorder="1" applyAlignment="1">
      <alignment vertical="center"/>
    </xf>
    <xf numFmtId="170" fontId="37" fillId="0" borderId="87" xfId="43" applyNumberFormat="1" applyFont="1" applyFill="1" applyBorder="1" applyAlignment="1">
      <alignment vertical="center"/>
    </xf>
    <xf numFmtId="170" fontId="1" fillId="0" borderId="87" xfId="43" applyNumberFormat="1" applyFont="1" applyFill="1" applyBorder="1" applyAlignment="1" applyProtection="1">
      <alignment vertical="center"/>
      <protection/>
    </xf>
    <xf numFmtId="170" fontId="37" fillId="0" borderId="87" xfId="43" applyNumberFormat="1" applyFont="1" applyFill="1" applyBorder="1" applyAlignment="1" applyProtection="1">
      <alignment vertical="center"/>
      <protection/>
    </xf>
    <xf numFmtId="41" fontId="37" fillId="0" borderId="87" xfId="43" applyFont="1" applyFill="1" applyBorder="1" applyAlignment="1">
      <alignment vertical="center"/>
    </xf>
    <xf numFmtId="41" fontId="37" fillId="0" borderId="87" xfId="43" applyFont="1" applyBorder="1" applyAlignment="1">
      <alignment vertical="center"/>
    </xf>
    <xf numFmtId="41" fontId="37" fillId="0" borderId="87" xfId="43" applyFont="1" applyFill="1" applyBorder="1" applyAlignment="1">
      <alignment horizontal="center" vertical="center"/>
    </xf>
    <xf numFmtId="170" fontId="37" fillId="0" borderId="87" xfId="43" applyNumberFormat="1" applyFont="1" applyFill="1" applyBorder="1" applyAlignment="1" applyProtection="1" quotePrefix="1">
      <alignment vertical="center"/>
      <protection/>
    </xf>
    <xf numFmtId="171" fontId="1" fillId="0" borderId="87" xfId="43" applyNumberFormat="1" applyFont="1" applyFill="1" applyBorder="1" applyAlignment="1" applyProtection="1">
      <alignment horizontal="center" vertical="center"/>
      <protection/>
    </xf>
    <xf numFmtId="41" fontId="1" fillId="0" borderId="87" xfId="43" applyNumberFormat="1" applyFont="1" applyFill="1" applyBorder="1" applyAlignment="1" applyProtection="1">
      <alignment vertical="center"/>
      <protection/>
    </xf>
    <xf numFmtId="172" fontId="37" fillId="0" borderId="87" xfId="42" applyNumberFormat="1" applyFont="1" applyFill="1" applyBorder="1" applyAlignment="1">
      <alignment vertical="center"/>
    </xf>
    <xf numFmtId="170" fontId="37" fillId="0" borderId="87" xfId="43" applyNumberFormat="1" applyFont="1" applyFill="1" applyBorder="1" applyAlignment="1" applyProtection="1">
      <alignment horizontal="left" vertical="center"/>
      <protection/>
    </xf>
    <xf numFmtId="178" fontId="1" fillId="0" borderId="87" xfId="43" applyNumberFormat="1" applyFont="1" applyFill="1" applyBorder="1" applyAlignment="1" applyProtection="1">
      <alignment vertical="center"/>
      <protection/>
    </xf>
    <xf numFmtId="41" fontId="37" fillId="0" borderId="87" xfId="43" applyFont="1" applyBorder="1" applyAlignment="1">
      <alignment horizontal="center" vertical="center"/>
    </xf>
    <xf numFmtId="43" fontId="37" fillId="0" borderId="87" xfId="42" applyFont="1" applyBorder="1" applyAlignment="1">
      <alignment vertical="center"/>
    </xf>
    <xf numFmtId="172" fontId="1" fillId="0" borderId="87" xfId="42" applyNumberFormat="1" applyFont="1" applyBorder="1" applyAlignment="1">
      <alignment vertical="center"/>
    </xf>
    <xf numFmtId="41" fontId="37" fillId="0" borderId="87" xfId="43" applyFont="1" applyBorder="1" applyAlignment="1" applyProtection="1">
      <alignment horizontal="center" vertical="center"/>
      <protection/>
    </xf>
    <xf numFmtId="178" fontId="37" fillId="0" borderId="87" xfId="43" applyNumberFormat="1" applyFont="1" applyBorder="1" applyAlignment="1" applyProtection="1">
      <alignment horizontal="center" vertical="center"/>
      <protection/>
    </xf>
    <xf numFmtId="170" fontId="37" fillId="0" borderId="87" xfId="43" applyNumberFormat="1" applyFont="1" applyBorder="1" applyAlignment="1" applyProtection="1">
      <alignment vertical="center"/>
      <protection/>
    </xf>
    <xf numFmtId="171" fontId="1" fillId="0" borderId="87" xfId="43" applyNumberFormat="1" applyFont="1" applyBorder="1" applyAlignment="1" applyProtection="1">
      <alignment vertical="center"/>
      <protection/>
    </xf>
    <xf numFmtId="171" fontId="37" fillId="0" borderId="87" xfId="43" applyNumberFormat="1" applyFont="1" applyBorder="1" applyAlignment="1" applyProtection="1">
      <alignment horizontal="center" vertical="center"/>
      <protection/>
    </xf>
    <xf numFmtId="170" fontId="37" fillId="0" borderId="87" xfId="43" applyNumberFormat="1" applyFont="1" applyBorder="1" applyAlignment="1">
      <alignment vertical="center"/>
    </xf>
    <xf numFmtId="171" fontId="37" fillId="0" borderId="87" xfId="43" applyNumberFormat="1" applyFont="1" applyFill="1" applyBorder="1" applyAlignment="1" applyProtection="1">
      <alignment vertical="center"/>
      <protection/>
    </xf>
    <xf numFmtId="177" fontId="37" fillId="0" borderId="87" xfId="43" applyNumberFormat="1" applyFont="1" applyFill="1" applyBorder="1" applyAlignment="1" applyProtection="1">
      <alignment vertical="center"/>
      <protection/>
    </xf>
    <xf numFmtId="41" fontId="37" fillId="33" borderId="87" xfId="43" applyFont="1" applyFill="1" applyBorder="1" applyAlignment="1">
      <alignment vertical="center"/>
    </xf>
    <xf numFmtId="41" fontId="1" fillId="33" borderId="87" xfId="43" applyFont="1" applyFill="1" applyBorder="1" applyAlignment="1">
      <alignment horizontal="center" vertical="center"/>
    </xf>
    <xf numFmtId="170" fontId="1" fillId="33" borderId="87" xfId="43" applyNumberFormat="1" applyFont="1" applyFill="1" applyBorder="1" applyAlignment="1">
      <alignment vertical="center"/>
    </xf>
    <xf numFmtId="171" fontId="1" fillId="0" borderId="87" xfId="43" applyNumberFormat="1" applyFont="1" applyFill="1" applyBorder="1" applyAlignment="1" applyProtection="1">
      <alignment horizontal="left" vertical="center"/>
      <protection/>
    </xf>
    <xf numFmtId="171" fontId="37" fillId="0" borderId="87" xfId="43" applyNumberFormat="1" applyFont="1" applyFill="1" applyBorder="1" applyAlignment="1" applyProtection="1">
      <alignment horizontal="left" vertical="center"/>
      <protection/>
    </xf>
    <xf numFmtId="170" fontId="1" fillId="0" borderId="87" xfId="43" applyNumberFormat="1" applyFont="1" applyFill="1" applyBorder="1" applyAlignment="1" applyProtection="1">
      <alignment horizontal="center" vertical="center"/>
      <protection/>
    </xf>
    <xf numFmtId="41" fontId="1" fillId="0" borderId="88" xfId="43" applyFont="1" applyFill="1" applyBorder="1" applyAlignment="1">
      <alignment vertical="center"/>
    </xf>
    <xf numFmtId="41" fontId="37" fillId="0" borderId="89" xfId="43" applyFont="1" applyFill="1" applyBorder="1" applyAlignment="1" applyProtection="1">
      <alignment horizontal="left" vertical="center"/>
      <protection/>
    </xf>
    <xf numFmtId="41" fontId="37" fillId="0" borderId="88" xfId="43" applyFont="1" applyFill="1" applyBorder="1" applyAlignment="1">
      <alignment vertical="center"/>
    </xf>
    <xf numFmtId="41" fontId="37" fillId="0" borderId="89" xfId="43" applyFont="1" applyFill="1" applyBorder="1" applyAlignment="1">
      <alignment vertical="center"/>
    </xf>
    <xf numFmtId="41" fontId="37" fillId="0" borderId="90" xfId="43" applyFont="1" applyBorder="1" applyAlignment="1">
      <alignment vertical="center"/>
    </xf>
    <xf numFmtId="41" fontId="37" fillId="0" borderId="89" xfId="43" applyFont="1" applyBorder="1" applyAlignment="1">
      <alignment vertical="center"/>
    </xf>
    <xf numFmtId="41" fontId="1" fillId="0" borderId="89" xfId="43" applyFont="1" applyFill="1" applyBorder="1" applyAlignment="1" applyProtection="1" quotePrefix="1">
      <alignment horizontal="left" vertical="center"/>
      <protection/>
    </xf>
    <xf numFmtId="41" fontId="37" fillId="0" borderId="90" xfId="43" applyFont="1" applyFill="1" applyBorder="1" applyAlignment="1">
      <alignment vertical="center"/>
    </xf>
    <xf numFmtId="41" fontId="37" fillId="0" borderId="88" xfId="43" applyFont="1" applyBorder="1" applyAlignment="1">
      <alignment vertical="center"/>
    </xf>
    <xf numFmtId="41" fontId="37" fillId="0" borderId="89" xfId="43" applyFont="1" applyBorder="1" applyAlignment="1" applyProtection="1">
      <alignment horizontal="left" vertical="center"/>
      <protection/>
    </xf>
    <xf numFmtId="41" fontId="1" fillId="0" borderId="89" xfId="43" applyFont="1" applyBorder="1" applyAlignment="1" applyProtection="1">
      <alignment horizontal="left" vertical="center"/>
      <protection/>
    </xf>
    <xf numFmtId="41" fontId="1" fillId="0" borderId="89" xfId="43" applyFont="1" applyFill="1" applyBorder="1" applyAlignment="1" applyProtection="1">
      <alignment vertical="center"/>
      <protection/>
    </xf>
    <xf numFmtId="0" fontId="1" fillId="0" borderId="88" xfId="0" applyFont="1" applyFill="1" applyBorder="1" applyAlignment="1">
      <alignment vertical="center"/>
    </xf>
    <xf numFmtId="41" fontId="1" fillId="0" borderId="88" xfId="43" applyFont="1" applyFill="1" applyBorder="1" applyAlignment="1" applyProtection="1">
      <alignment horizontal="center" vertical="center"/>
      <protection/>
    </xf>
    <xf numFmtId="41" fontId="1" fillId="33" borderId="89" xfId="43" applyFont="1" applyFill="1" applyBorder="1" applyAlignment="1" applyProtection="1">
      <alignment horizontal="left" vertical="center"/>
      <protection/>
    </xf>
    <xf numFmtId="41" fontId="37" fillId="33" borderId="88" xfId="43" applyFont="1" applyFill="1" applyBorder="1" applyAlignment="1">
      <alignment vertical="center"/>
    </xf>
    <xf numFmtId="41" fontId="37" fillId="33" borderId="89" xfId="43" applyFont="1" applyFill="1" applyBorder="1" applyAlignment="1" applyProtection="1">
      <alignment horizontal="left" vertical="center"/>
      <protection/>
    </xf>
    <xf numFmtId="41" fontId="37" fillId="33" borderId="89" xfId="43" applyFont="1" applyFill="1" applyBorder="1" applyAlignment="1">
      <alignment vertical="center"/>
    </xf>
    <xf numFmtId="41" fontId="37" fillId="33" borderId="90" xfId="43" applyFont="1" applyFill="1" applyBorder="1" applyAlignment="1">
      <alignment vertical="center"/>
    </xf>
    <xf numFmtId="41" fontId="37" fillId="33" borderId="88" xfId="43" applyFont="1" applyFill="1" applyBorder="1" applyAlignment="1">
      <alignment horizontal="right" vertical="center"/>
    </xf>
    <xf numFmtId="41" fontId="1" fillId="33" borderId="89" xfId="43" applyFont="1" applyFill="1" applyBorder="1" applyAlignment="1">
      <alignment vertical="center"/>
    </xf>
    <xf numFmtId="41" fontId="1" fillId="0" borderId="89" xfId="43" applyFont="1" applyFill="1" applyBorder="1" applyAlignment="1">
      <alignment horizontal="center" vertical="center"/>
    </xf>
    <xf numFmtId="41" fontId="37" fillId="0" borderId="89" xfId="43" applyFont="1" applyFill="1" applyBorder="1" applyAlignment="1">
      <alignment horizontal="center" vertical="center"/>
    </xf>
    <xf numFmtId="0" fontId="1" fillId="0" borderId="89" xfId="0" applyFont="1" applyBorder="1" applyAlignment="1">
      <alignment/>
    </xf>
    <xf numFmtId="41" fontId="1" fillId="0" borderId="46" xfId="43" applyFont="1" applyFill="1" applyBorder="1" applyAlignment="1">
      <alignment vertical="center"/>
    </xf>
    <xf numFmtId="41" fontId="1" fillId="0" borderId="49" xfId="43" applyFont="1" applyBorder="1" applyAlignment="1">
      <alignment vertical="center"/>
    </xf>
    <xf numFmtId="170" fontId="37" fillId="0" borderId="0" xfId="43" applyNumberFormat="1" applyFont="1" applyAlignment="1">
      <alignment vertical="center"/>
    </xf>
    <xf numFmtId="175" fontId="37" fillId="0" borderId="0" xfId="42" applyNumberFormat="1" applyFont="1" applyFill="1" applyBorder="1" applyAlignment="1" applyProtection="1">
      <alignment vertical="center"/>
      <protection/>
    </xf>
    <xf numFmtId="175" fontId="1" fillId="0" borderId="0" xfId="42" applyNumberFormat="1" applyFont="1" applyFill="1" applyBorder="1" applyAlignment="1" applyProtection="1">
      <alignment vertical="center"/>
      <protection/>
    </xf>
    <xf numFmtId="41" fontId="1" fillId="0" borderId="0" xfId="43" applyFont="1" applyFill="1" applyBorder="1" applyAlignment="1">
      <alignment horizontal="center" vertical="center"/>
    </xf>
    <xf numFmtId="41" fontId="1" fillId="35" borderId="0" xfId="43" applyFont="1" applyFill="1" applyAlignment="1" applyProtection="1">
      <alignment horizontal="right" vertical="center"/>
      <protection/>
    </xf>
    <xf numFmtId="43" fontId="1" fillId="35" borderId="97" xfId="42" applyFont="1" applyFill="1" applyBorder="1" applyAlignment="1" applyProtection="1">
      <alignment vertical="center"/>
      <protection/>
    </xf>
    <xf numFmtId="41" fontId="37" fillId="33" borderId="104" xfId="43" applyFont="1" applyFill="1" applyBorder="1" applyAlignment="1" applyProtection="1">
      <alignment horizontal="center" vertical="center"/>
      <protection/>
    </xf>
    <xf numFmtId="41" fontId="32" fillId="0" borderId="0" xfId="43" applyFont="1" applyFill="1" applyBorder="1" applyAlignment="1">
      <alignment vertical="center"/>
    </xf>
    <xf numFmtId="170" fontId="34" fillId="0" borderId="0" xfId="43" applyNumberFormat="1" applyFont="1" applyBorder="1" applyAlignment="1">
      <alignment vertical="center"/>
    </xf>
    <xf numFmtId="170" fontId="32" fillId="0" borderId="0" xfId="43" applyNumberFormat="1" applyFont="1" applyFill="1" applyBorder="1" applyAlignment="1">
      <alignment vertical="center"/>
    </xf>
    <xf numFmtId="41" fontId="37" fillId="0" borderId="13" xfId="43" applyFont="1" applyFill="1" applyBorder="1" applyAlignment="1">
      <alignment vertical="center"/>
    </xf>
    <xf numFmtId="41" fontId="1" fillId="0" borderId="13" xfId="43" applyFont="1" applyFill="1" applyBorder="1" applyAlignment="1">
      <alignment vertical="center"/>
    </xf>
    <xf numFmtId="41" fontId="37" fillId="0" borderId="68" xfId="43" applyFont="1" applyFill="1" applyBorder="1" applyAlignment="1" applyProtection="1">
      <alignment vertical="center"/>
      <protection/>
    </xf>
    <xf numFmtId="41" fontId="3" fillId="0" borderId="0" xfId="43" applyFont="1" applyFill="1" applyAlignment="1" applyProtection="1">
      <alignment horizontal="left" vertical="center"/>
      <protection/>
    </xf>
    <xf numFmtId="41" fontId="10" fillId="0" borderId="0" xfId="43" applyFont="1" applyFill="1" applyAlignment="1" applyProtection="1">
      <alignment horizontal="left" vertical="center"/>
      <protection/>
    </xf>
    <xf numFmtId="173" fontId="2" fillId="0" borderId="0" xfId="42" applyNumberFormat="1" applyFont="1" applyFill="1" applyAlignment="1">
      <alignment vertical="center"/>
    </xf>
    <xf numFmtId="43" fontId="2" fillId="0" borderId="97" xfId="42" applyFont="1" applyFill="1" applyBorder="1" applyAlignment="1" applyProtection="1">
      <alignment vertical="center"/>
      <protection/>
    </xf>
    <xf numFmtId="9" fontId="2" fillId="0" borderId="0" xfId="43" applyNumberFormat="1" applyFont="1" applyFill="1" applyBorder="1" applyAlignment="1" applyProtection="1">
      <alignment vertical="center"/>
      <protection/>
    </xf>
    <xf numFmtId="41" fontId="2" fillId="0" borderId="0" xfId="43" applyFont="1" applyFill="1" applyBorder="1" applyAlignment="1" applyProtection="1">
      <alignment vertical="center"/>
      <protection/>
    </xf>
    <xf numFmtId="41" fontId="2" fillId="0" borderId="0" xfId="43" applyFont="1" applyFill="1" applyAlignment="1" applyProtection="1">
      <alignment vertical="center"/>
      <protection/>
    </xf>
    <xf numFmtId="41" fontId="2" fillId="0" borderId="95" xfId="43" applyFont="1" applyFill="1" applyBorder="1" applyAlignment="1" applyProtection="1">
      <alignment horizontal="left" vertical="center"/>
      <protection/>
    </xf>
    <xf numFmtId="178" fontId="2" fillId="0" borderId="96" xfId="43" applyNumberFormat="1" applyFont="1" applyFill="1" applyBorder="1" applyAlignment="1" applyProtection="1">
      <alignment vertical="center"/>
      <protection/>
    </xf>
    <xf numFmtId="41" fontId="2" fillId="0" borderId="97" xfId="43" applyFont="1" applyFill="1" applyBorder="1" applyAlignment="1" applyProtection="1">
      <alignment vertical="center"/>
      <protection/>
    </xf>
    <xf numFmtId="178" fontId="2" fillId="0" borderId="0" xfId="43" applyNumberFormat="1" applyFont="1" applyFill="1" applyBorder="1" applyAlignment="1" applyProtection="1">
      <alignment vertical="center"/>
      <protection/>
    </xf>
    <xf numFmtId="41" fontId="2" fillId="0" borderId="98" xfId="43" applyFont="1" applyFill="1" applyBorder="1" applyAlignment="1" applyProtection="1">
      <alignment horizontal="left" vertical="center"/>
      <protection/>
    </xf>
    <xf numFmtId="178" fontId="2" fillId="0" borderId="106" xfId="43" applyNumberFormat="1" applyFont="1" applyFill="1" applyBorder="1" applyAlignment="1" applyProtection="1">
      <alignment vertical="center"/>
      <protection/>
    </xf>
    <xf numFmtId="41" fontId="13" fillId="0" borderId="73" xfId="43" applyFont="1" applyFill="1" applyBorder="1" applyAlignment="1">
      <alignment horizontal="right" vertical="center"/>
    </xf>
    <xf numFmtId="43" fontId="13" fillId="0" borderId="107" xfId="42" applyFont="1" applyFill="1" applyBorder="1" applyAlignment="1">
      <alignment vertical="center"/>
    </xf>
    <xf numFmtId="41" fontId="2" fillId="0" borderId="82" xfId="43" applyFont="1" applyFill="1" applyBorder="1" applyAlignment="1" applyProtection="1">
      <alignment vertical="center"/>
      <protection/>
    </xf>
    <xf numFmtId="41" fontId="2" fillId="0" borderId="102" xfId="43" applyFont="1" applyFill="1" applyBorder="1" applyAlignment="1">
      <alignment vertical="center"/>
    </xf>
    <xf numFmtId="43" fontId="2" fillId="0" borderId="0" xfId="42" applyFont="1" applyFill="1" applyBorder="1" applyAlignment="1">
      <alignment vertical="center"/>
    </xf>
    <xf numFmtId="43" fontId="2" fillId="0" borderId="0" xfId="42" applyFont="1" applyFill="1" applyBorder="1" applyAlignment="1" applyProtection="1">
      <alignment vertical="center"/>
      <protection/>
    </xf>
    <xf numFmtId="0" fontId="2" fillId="0" borderId="11" xfId="43" applyNumberFormat="1" applyFont="1" applyFill="1" applyBorder="1" applyAlignment="1">
      <alignment horizontal="left" vertical="center" indent="2"/>
    </xf>
    <xf numFmtId="181" fontId="2" fillId="0" borderId="0" xfId="59" applyNumberFormat="1" applyFont="1" applyBorder="1" applyAlignment="1">
      <alignment vertical="center"/>
    </xf>
    <xf numFmtId="181" fontId="11" fillId="0" borderId="104" xfId="43" applyNumberFormat="1" applyFont="1" applyFill="1" applyBorder="1" applyAlignment="1">
      <alignment horizontal="center" vertical="center"/>
    </xf>
    <xf numFmtId="41" fontId="37" fillId="0" borderId="88" xfId="43" applyNumberFormat="1" applyFont="1" applyFill="1" applyBorder="1" applyAlignment="1" applyProtection="1">
      <alignment horizontal="left" vertical="center"/>
      <protection/>
    </xf>
    <xf numFmtId="171" fontId="1" fillId="0" borderId="88" xfId="43" applyNumberFormat="1" applyFont="1" applyFill="1" applyBorder="1" applyAlignment="1">
      <alignment vertical="center"/>
    </xf>
    <xf numFmtId="171" fontId="37" fillId="0" borderId="88" xfId="43" applyNumberFormat="1" applyFont="1" applyFill="1" applyBorder="1" applyAlignment="1">
      <alignment vertical="center"/>
    </xf>
    <xf numFmtId="41" fontId="37" fillId="0" borderId="88" xfId="43" applyNumberFormat="1" applyFont="1" applyFill="1" applyBorder="1" applyAlignment="1">
      <alignment vertical="center"/>
    </xf>
    <xf numFmtId="175" fontId="37" fillId="0" borderId="88" xfId="42" applyNumberFormat="1" applyFont="1" applyBorder="1" applyAlignment="1">
      <alignment vertical="center"/>
    </xf>
    <xf numFmtId="41" fontId="37" fillId="0" borderId="108" xfId="43" applyFont="1" applyFill="1" applyBorder="1" applyAlignment="1" applyProtection="1">
      <alignment horizontal="center" vertical="center"/>
      <protection/>
    </xf>
    <xf numFmtId="41" fontId="1" fillId="0" borderId="108" xfId="43" applyFont="1" applyFill="1" applyBorder="1" applyAlignment="1" applyProtection="1">
      <alignment vertical="center"/>
      <protection/>
    </xf>
    <xf numFmtId="41" fontId="37" fillId="0" borderId="108" xfId="43" applyFont="1" applyFill="1" applyBorder="1" applyAlignment="1" applyProtection="1">
      <alignment vertical="center"/>
      <protection/>
    </xf>
    <xf numFmtId="41" fontId="1" fillId="0" borderId="108" xfId="43" applyFont="1" applyFill="1" applyBorder="1" applyAlignment="1" applyProtection="1">
      <alignment horizontal="center" vertical="center"/>
      <protection/>
    </xf>
    <xf numFmtId="41" fontId="8" fillId="33" borderId="108" xfId="43" applyFont="1" applyFill="1" applyBorder="1" applyAlignment="1">
      <alignment vertical="center"/>
    </xf>
    <xf numFmtId="173" fontId="10" fillId="0" borderId="15" xfId="42" applyNumberFormat="1" applyFont="1" applyFill="1" applyBorder="1" applyAlignment="1">
      <alignment vertical="center"/>
    </xf>
    <xf numFmtId="41" fontId="42" fillId="0" borderId="109" xfId="43" applyFont="1" applyFill="1" applyBorder="1" applyAlignment="1" applyProtection="1">
      <alignment vertical="center"/>
      <protection/>
    </xf>
    <xf numFmtId="41" fontId="43" fillId="0" borderId="0" xfId="43" applyFont="1" applyFill="1" applyBorder="1" applyAlignment="1">
      <alignment vertical="center"/>
    </xf>
    <xf numFmtId="41" fontId="42" fillId="0" borderId="0" xfId="43" applyFont="1" applyFill="1" applyBorder="1" applyAlignment="1" applyProtection="1">
      <alignment horizontal="left" vertical="center"/>
      <protection/>
    </xf>
    <xf numFmtId="41" fontId="42" fillId="0" borderId="0" xfId="43" applyFont="1" applyFill="1" applyBorder="1" applyAlignment="1">
      <alignment vertical="center"/>
    </xf>
    <xf numFmtId="41" fontId="43" fillId="0" borderId="109" xfId="43" applyFont="1" applyFill="1" applyBorder="1" applyAlignment="1" applyProtection="1">
      <alignment horizontal="center" vertical="center"/>
      <protection/>
    </xf>
    <xf numFmtId="41" fontId="43" fillId="0" borderId="0" xfId="43" applyFont="1" applyFill="1" applyBorder="1" applyAlignment="1" applyProtection="1">
      <alignment horizontal="left" vertical="center"/>
      <protection/>
    </xf>
    <xf numFmtId="41" fontId="43" fillId="0" borderId="109" xfId="43" applyFont="1" applyFill="1" applyBorder="1" applyAlignment="1">
      <alignment vertical="center"/>
    </xf>
    <xf numFmtId="170" fontId="43" fillId="0" borderId="109" xfId="43" applyNumberFormat="1" applyFont="1" applyFill="1" applyBorder="1" applyAlignment="1">
      <alignment vertical="center"/>
    </xf>
    <xf numFmtId="41" fontId="42" fillId="0" borderId="109" xfId="43" applyFont="1" applyFill="1" applyBorder="1" applyAlignment="1" applyProtection="1">
      <alignment horizontal="center" vertical="center"/>
      <protection/>
    </xf>
    <xf numFmtId="170" fontId="42" fillId="0" borderId="109" xfId="43" applyNumberFormat="1" applyFont="1" applyFill="1" applyBorder="1" applyAlignment="1" applyProtection="1">
      <alignment vertical="center"/>
      <protection/>
    </xf>
    <xf numFmtId="170" fontId="42" fillId="0" borderId="109" xfId="43" applyNumberFormat="1" applyFont="1" applyFill="1" applyBorder="1" applyAlignment="1">
      <alignment vertical="center"/>
    </xf>
    <xf numFmtId="170" fontId="42" fillId="33" borderId="109" xfId="43" applyNumberFormat="1" applyFont="1" applyFill="1" applyBorder="1" applyAlignment="1" applyProtection="1">
      <alignment vertical="center"/>
      <protection/>
    </xf>
    <xf numFmtId="41" fontId="42" fillId="0" borderId="104" xfId="43" applyFont="1" applyFill="1" applyBorder="1" applyAlignment="1" applyProtection="1">
      <alignment vertical="center"/>
      <protection/>
    </xf>
    <xf numFmtId="41" fontId="42" fillId="0" borderId="12" xfId="43" applyFont="1" applyFill="1" applyBorder="1" applyAlignment="1">
      <alignment vertical="center"/>
    </xf>
    <xf numFmtId="41" fontId="42" fillId="0" borderId="12" xfId="43" applyFont="1" applyFill="1" applyBorder="1" applyAlignment="1" applyProtection="1">
      <alignment horizontal="left" vertical="center"/>
      <protection/>
    </xf>
    <xf numFmtId="41" fontId="42" fillId="0" borderId="104" xfId="43" applyFont="1" applyFill="1" applyBorder="1" applyAlignment="1" applyProtection="1">
      <alignment horizontal="center" vertical="center"/>
      <protection/>
    </xf>
    <xf numFmtId="170" fontId="42" fillId="0" borderId="104" xfId="43" applyNumberFormat="1" applyFont="1" applyFill="1" applyBorder="1" applyAlignment="1" applyProtection="1">
      <alignment vertical="center"/>
      <protection/>
    </xf>
    <xf numFmtId="170" fontId="42" fillId="33" borderId="104" xfId="43" applyNumberFormat="1" applyFont="1" applyFill="1" applyBorder="1" applyAlignment="1" applyProtection="1">
      <alignment vertical="center"/>
      <protection/>
    </xf>
    <xf numFmtId="170" fontId="42" fillId="0" borderId="104" xfId="43" applyNumberFormat="1" applyFont="1" applyFill="1" applyBorder="1" applyAlignment="1">
      <alignment vertical="center"/>
    </xf>
    <xf numFmtId="41" fontId="42" fillId="0" borderId="104" xfId="43" applyFont="1" applyFill="1" applyBorder="1" applyAlignment="1">
      <alignment vertical="center"/>
    </xf>
    <xf numFmtId="41" fontId="43" fillId="0" borderId="12" xfId="43" applyFont="1" applyFill="1" applyBorder="1" applyAlignment="1">
      <alignment vertical="center"/>
    </xf>
    <xf numFmtId="170" fontId="43" fillId="0" borderId="104" xfId="43" applyNumberFormat="1" applyFont="1" applyFill="1" applyBorder="1" applyAlignment="1">
      <alignment vertical="center"/>
    </xf>
    <xf numFmtId="41" fontId="43" fillId="0" borderId="13" xfId="43" applyFont="1" applyFill="1" applyBorder="1" applyAlignment="1" applyProtection="1">
      <alignment horizontal="center" vertical="center"/>
      <protection/>
    </xf>
    <xf numFmtId="41" fontId="43" fillId="0" borderId="82" xfId="43" applyFont="1" applyFill="1" applyBorder="1" applyAlignment="1">
      <alignment vertical="center"/>
    </xf>
    <xf numFmtId="41" fontId="43" fillId="0" borderId="82" xfId="43" applyFont="1" applyFill="1" applyBorder="1" applyAlignment="1" applyProtection="1">
      <alignment horizontal="left" vertical="center"/>
      <protection/>
    </xf>
    <xf numFmtId="41" fontId="43" fillId="33" borderId="109" xfId="43" applyFont="1" applyFill="1" applyBorder="1" applyAlignment="1" applyProtection="1">
      <alignment horizontal="center" vertical="center"/>
      <protection/>
    </xf>
    <xf numFmtId="41" fontId="43" fillId="33" borderId="0" xfId="43" applyFont="1" applyFill="1" applyBorder="1" applyAlignment="1">
      <alignment vertical="center"/>
    </xf>
    <xf numFmtId="41" fontId="43" fillId="33" borderId="0" xfId="43" applyFont="1" applyFill="1" applyBorder="1" applyAlignment="1" applyProtection="1">
      <alignment horizontal="left" vertical="center"/>
      <protection/>
    </xf>
    <xf numFmtId="41" fontId="43" fillId="33" borderId="109" xfId="43" applyFont="1" applyFill="1" applyBorder="1" applyAlignment="1">
      <alignment vertical="center"/>
    </xf>
    <xf numFmtId="170" fontId="43" fillId="33" borderId="109" xfId="43" applyNumberFormat="1" applyFont="1" applyFill="1" applyBorder="1" applyAlignment="1" applyProtection="1">
      <alignment vertical="center"/>
      <protection/>
    </xf>
    <xf numFmtId="170" fontId="42" fillId="0" borderId="0" xfId="43" applyNumberFormat="1" applyFont="1" applyFill="1" applyBorder="1" applyAlignment="1">
      <alignment vertical="center"/>
    </xf>
    <xf numFmtId="170" fontId="43" fillId="0" borderId="109" xfId="43" applyNumberFormat="1" applyFont="1" applyFill="1" applyBorder="1" applyAlignment="1" applyProtection="1">
      <alignment vertical="center"/>
      <protection/>
    </xf>
    <xf numFmtId="41" fontId="42" fillId="0" borderId="0" xfId="43" applyFont="1" applyFill="1" applyBorder="1" applyAlignment="1">
      <alignment horizontal="center" vertical="center"/>
    </xf>
    <xf numFmtId="41" fontId="42" fillId="0" borderId="0" xfId="43" applyFont="1" applyFill="1" applyBorder="1" applyAlignment="1">
      <alignment horizontal="left" vertical="center"/>
    </xf>
    <xf numFmtId="41" fontId="43" fillId="0" borderId="12" xfId="43" applyFont="1" applyFill="1" applyBorder="1" applyAlignment="1" applyProtection="1">
      <alignment horizontal="left" vertical="center"/>
      <protection/>
    </xf>
    <xf numFmtId="41" fontId="42" fillId="0" borderId="12" xfId="43" applyFont="1" applyFill="1" applyBorder="1" applyAlignment="1">
      <alignment horizontal="center" vertical="center"/>
    </xf>
    <xf numFmtId="41" fontId="42" fillId="0" borderId="12" xfId="43" applyFont="1" applyFill="1" applyBorder="1" applyAlignment="1">
      <alignment horizontal="left" vertical="center"/>
    </xf>
    <xf numFmtId="41" fontId="42" fillId="0" borderId="13" xfId="43" applyFont="1" applyFill="1" applyBorder="1" applyAlignment="1" applyProtection="1">
      <alignment vertical="center"/>
      <protection/>
    </xf>
    <xf numFmtId="41" fontId="42" fillId="0" borderId="82" xfId="43" applyFont="1" applyFill="1" applyBorder="1" applyAlignment="1" applyProtection="1">
      <alignment horizontal="left" vertical="center"/>
      <protection/>
    </xf>
    <xf numFmtId="41" fontId="42" fillId="0" borderId="82" xfId="43" applyFont="1" applyFill="1" applyBorder="1" applyAlignment="1">
      <alignment vertical="center"/>
    </xf>
    <xf numFmtId="41" fontId="42" fillId="0" borderId="82" xfId="43" applyFont="1" applyFill="1" applyBorder="1" applyAlignment="1">
      <alignment horizontal="center" vertical="center"/>
    </xf>
    <xf numFmtId="41" fontId="42" fillId="0" borderId="82" xfId="43" applyFont="1" applyFill="1" applyBorder="1" applyAlignment="1">
      <alignment horizontal="left" vertical="center"/>
    </xf>
    <xf numFmtId="41" fontId="42" fillId="0" borderId="13" xfId="43" applyFont="1" applyFill="1" applyBorder="1" applyAlignment="1" applyProtection="1">
      <alignment horizontal="center" vertical="center"/>
      <protection/>
    </xf>
    <xf numFmtId="170" fontId="42" fillId="0" borderId="13" xfId="43" applyNumberFormat="1" applyFont="1" applyFill="1" applyBorder="1" applyAlignment="1" applyProtection="1">
      <alignment vertical="center"/>
      <protection/>
    </xf>
    <xf numFmtId="43" fontId="43" fillId="33" borderId="0" xfId="42" applyFont="1" applyFill="1" applyBorder="1" applyAlignment="1">
      <alignment vertical="center"/>
    </xf>
    <xf numFmtId="41" fontId="42" fillId="33" borderId="0" xfId="43" applyFont="1" applyFill="1" applyBorder="1" applyAlignment="1">
      <alignment vertical="center"/>
    </xf>
    <xf numFmtId="41" fontId="42" fillId="33" borderId="109" xfId="43" applyFont="1" applyFill="1" applyBorder="1" applyAlignment="1" applyProtection="1">
      <alignment horizontal="center" vertical="center"/>
      <protection/>
    </xf>
    <xf numFmtId="175" fontId="42" fillId="0" borderId="0" xfId="42" applyNumberFormat="1" applyFont="1" applyFill="1" applyBorder="1" applyAlignment="1" applyProtection="1">
      <alignment vertical="center"/>
      <protection/>
    </xf>
    <xf numFmtId="41" fontId="42" fillId="0" borderId="0" xfId="43" applyFont="1" applyFill="1" applyBorder="1" applyAlignment="1" applyProtection="1">
      <alignment horizontal="center" vertical="center"/>
      <protection/>
    </xf>
    <xf numFmtId="41" fontId="43" fillId="33" borderId="13" xfId="43" applyFont="1" applyFill="1" applyBorder="1" applyAlignment="1" applyProtection="1">
      <alignment horizontal="right" vertical="center"/>
      <protection/>
    </xf>
    <xf numFmtId="41" fontId="43" fillId="33" borderId="82" xfId="43" applyFont="1" applyFill="1" applyBorder="1" applyAlignment="1">
      <alignment vertical="center"/>
    </xf>
    <xf numFmtId="41" fontId="43" fillId="33" borderId="82" xfId="43" applyFont="1" applyFill="1" applyBorder="1" applyAlignment="1" applyProtection="1">
      <alignment horizontal="left" vertical="center"/>
      <protection/>
    </xf>
    <xf numFmtId="41" fontId="42" fillId="33" borderId="82" xfId="43" applyFont="1" applyFill="1" applyBorder="1" applyAlignment="1">
      <alignment vertical="center"/>
    </xf>
    <xf numFmtId="41" fontId="42" fillId="33" borderId="13" xfId="43" applyFont="1" applyFill="1" applyBorder="1" applyAlignment="1" applyProtection="1">
      <alignment horizontal="center" vertical="center"/>
      <protection/>
    </xf>
    <xf numFmtId="170" fontId="42" fillId="33" borderId="13" xfId="43" applyNumberFormat="1" applyFont="1" applyFill="1" applyBorder="1" applyAlignment="1" applyProtection="1">
      <alignment vertical="center"/>
      <protection/>
    </xf>
    <xf numFmtId="170" fontId="42" fillId="33" borderId="13" xfId="43" applyNumberFormat="1" applyFont="1" applyFill="1" applyBorder="1" applyAlignment="1">
      <alignment vertical="center"/>
    </xf>
    <xf numFmtId="170" fontId="43" fillId="0" borderId="0" xfId="43" applyNumberFormat="1" applyFont="1" applyFill="1" applyBorder="1" applyAlignment="1">
      <alignment vertical="center"/>
    </xf>
    <xf numFmtId="41" fontId="42" fillId="0" borderId="109" xfId="43" applyFont="1" applyFill="1" applyBorder="1" applyAlignment="1">
      <alignment horizontal="center" vertical="center"/>
    </xf>
    <xf numFmtId="170" fontId="42" fillId="0" borderId="109" xfId="43" applyNumberFormat="1" applyFont="1" applyFill="1" applyBorder="1" applyAlignment="1" applyProtection="1">
      <alignment horizontal="right" vertical="center"/>
      <protection/>
    </xf>
    <xf numFmtId="41" fontId="42" fillId="0" borderId="0" xfId="43" applyFont="1" applyAlignment="1">
      <alignment vertical="center"/>
    </xf>
    <xf numFmtId="41" fontId="42" fillId="33" borderId="0" xfId="43" applyFont="1" applyFill="1" applyBorder="1" applyAlignment="1" applyProtection="1">
      <alignment horizontal="left" vertical="center"/>
      <protection/>
    </xf>
    <xf numFmtId="41" fontId="42" fillId="33" borderId="104" xfId="43" applyFont="1" applyFill="1" applyBorder="1" applyAlignment="1" applyProtection="1">
      <alignment vertical="center"/>
      <protection/>
    </xf>
    <xf numFmtId="41" fontId="42" fillId="33" borderId="12" xfId="43" applyFont="1" applyFill="1" applyBorder="1" applyAlignment="1">
      <alignment vertical="center"/>
    </xf>
    <xf numFmtId="41" fontId="42" fillId="33" borderId="12" xfId="43" applyFont="1" applyFill="1" applyBorder="1" applyAlignment="1" applyProtection="1">
      <alignment horizontal="left" vertical="center"/>
      <protection/>
    </xf>
    <xf numFmtId="41" fontId="42" fillId="33" borderId="104" xfId="43" applyFont="1" applyFill="1" applyBorder="1" applyAlignment="1" applyProtection="1">
      <alignment horizontal="center" vertical="center"/>
      <protection/>
    </xf>
    <xf numFmtId="170" fontId="42" fillId="33" borderId="104" xfId="43" applyNumberFormat="1" applyFont="1" applyFill="1" applyBorder="1" applyAlignment="1" applyProtection="1">
      <alignment horizontal="right" vertical="center"/>
      <protection/>
    </xf>
    <xf numFmtId="41" fontId="42" fillId="33" borderId="82" xfId="43" applyFont="1" applyFill="1" applyBorder="1" applyAlignment="1" applyProtection="1">
      <alignment horizontal="left" vertical="center"/>
      <protection/>
    </xf>
    <xf numFmtId="170" fontId="42" fillId="33" borderId="13" xfId="43" applyNumberFormat="1" applyFont="1" applyFill="1" applyBorder="1" applyAlignment="1" applyProtection="1">
      <alignment horizontal="right" vertical="center"/>
      <protection/>
    </xf>
    <xf numFmtId="41" fontId="42" fillId="33" borderId="109" xfId="43" applyFont="1" applyFill="1" applyBorder="1" applyAlignment="1" applyProtection="1">
      <alignment vertical="center"/>
      <protection/>
    </xf>
    <xf numFmtId="41" fontId="42" fillId="33" borderId="109" xfId="43" applyFont="1" applyFill="1" applyBorder="1" applyAlignment="1">
      <alignment horizontal="center" vertical="center"/>
    </xf>
    <xf numFmtId="41" fontId="43" fillId="33" borderId="12" xfId="43" applyFont="1" applyFill="1" applyBorder="1" applyAlignment="1">
      <alignment vertical="center"/>
    </xf>
    <xf numFmtId="41" fontId="42" fillId="33" borderId="12" xfId="43" applyFont="1" applyFill="1" applyBorder="1" applyAlignment="1">
      <alignment horizontal="left" vertical="center"/>
    </xf>
    <xf numFmtId="41" fontId="42" fillId="33" borderId="104" xfId="43" applyFont="1" applyFill="1" applyBorder="1" applyAlignment="1">
      <alignment vertical="center"/>
    </xf>
    <xf numFmtId="170" fontId="43" fillId="33" borderId="104" xfId="43" applyNumberFormat="1" applyFont="1" applyFill="1" applyBorder="1" applyAlignment="1" applyProtection="1">
      <alignment vertical="center"/>
      <protection/>
    </xf>
    <xf numFmtId="41" fontId="43" fillId="33" borderId="109" xfId="43" applyFont="1" applyFill="1" applyBorder="1" applyAlignment="1">
      <alignment horizontal="center" vertical="center"/>
    </xf>
    <xf numFmtId="170" fontId="43" fillId="33" borderId="109" xfId="43" applyNumberFormat="1" applyFont="1" applyFill="1" applyBorder="1" applyAlignment="1">
      <alignment vertical="center"/>
    </xf>
    <xf numFmtId="170" fontId="42" fillId="33" borderId="109" xfId="43" applyNumberFormat="1" applyFont="1" applyFill="1" applyBorder="1" applyAlignment="1">
      <alignment vertical="center"/>
    </xf>
    <xf numFmtId="170" fontId="42" fillId="33" borderId="104" xfId="43" applyNumberFormat="1" applyFont="1" applyFill="1" applyBorder="1" applyAlignment="1">
      <alignment vertical="center"/>
    </xf>
    <xf numFmtId="41" fontId="42" fillId="33" borderId="13" xfId="43" applyFont="1" applyFill="1" applyBorder="1" applyAlignment="1" applyProtection="1">
      <alignment vertical="center"/>
      <protection/>
    </xf>
    <xf numFmtId="41" fontId="43" fillId="0" borderId="109" xfId="43" applyFont="1" applyFill="1" applyBorder="1" applyAlignment="1" applyProtection="1">
      <alignment horizontal="left" vertical="center"/>
      <protection/>
    </xf>
    <xf numFmtId="170" fontId="42" fillId="0" borderId="13" xfId="43" applyNumberFormat="1" applyFont="1" applyFill="1" applyBorder="1" applyAlignment="1">
      <alignment vertical="center"/>
    </xf>
    <xf numFmtId="41" fontId="42" fillId="0" borderId="0" xfId="43" applyFont="1" applyFill="1" applyBorder="1" applyAlignment="1" quotePrefix="1">
      <alignment horizontal="center" vertical="center"/>
    </xf>
    <xf numFmtId="41" fontId="42" fillId="33" borderId="0" xfId="43" applyFont="1" applyFill="1" applyBorder="1" applyAlignment="1" applyProtection="1" quotePrefix="1">
      <alignment horizontal="left" vertical="center"/>
      <protection/>
    </xf>
    <xf numFmtId="41" fontId="42" fillId="0" borderId="109" xfId="43" applyFont="1" applyBorder="1" applyAlignment="1">
      <alignment vertical="center"/>
    </xf>
    <xf numFmtId="170" fontId="43" fillId="0" borderId="13" xfId="43" applyNumberFormat="1" applyFont="1" applyFill="1" applyBorder="1" applyAlignment="1">
      <alignment vertical="center"/>
    </xf>
    <xf numFmtId="41" fontId="42" fillId="0" borderId="12" xfId="43" applyFont="1" applyBorder="1" applyAlignment="1">
      <alignment vertical="center"/>
    </xf>
    <xf numFmtId="41" fontId="42" fillId="0" borderId="104" xfId="43" applyFont="1" applyFill="1" applyBorder="1" applyAlignment="1">
      <alignment horizontal="center" vertical="center"/>
    </xf>
    <xf numFmtId="41" fontId="43" fillId="0" borderId="0" xfId="43" applyFont="1" applyAlignment="1">
      <alignment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41" fontId="43" fillId="0" borderId="0" xfId="43" applyFont="1" applyBorder="1" applyAlignment="1">
      <alignment vertical="center"/>
    </xf>
    <xf numFmtId="41" fontId="42" fillId="0" borderId="82" xfId="43" applyFont="1" applyBorder="1" applyAlignment="1">
      <alignment vertical="center"/>
    </xf>
    <xf numFmtId="41" fontId="42" fillId="0" borderId="13" xfId="43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41" fontId="42" fillId="0" borderId="0" xfId="43" applyFont="1" applyAlignment="1">
      <alignment horizontal="right" vertical="center"/>
    </xf>
    <xf numFmtId="170" fontId="42" fillId="0" borderId="0" xfId="43" applyNumberFormat="1" applyFont="1" applyAlignment="1">
      <alignment vertical="center"/>
    </xf>
    <xf numFmtId="41" fontId="42" fillId="0" borderId="0" xfId="43" applyFont="1" applyBorder="1" applyAlignment="1">
      <alignment vertical="center"/>
    </xf>
    <xf numFmtId="41" fontId="42" fillId="0" borderId="0" xfId="43" applyFont="1" applyBorder="1" applyAlignment="1">
      <alignment horizontal="right" vertical="center"/>
    </xf>
    <xf numFmtId="170" fontId="42" fillId="0" borderId="0" xfId="43" applyNumberFormat="1" applyFont="1" applyBorder="1" applyAlignment="1">
      <alignment vertical="center"/>
    </xf>
    <xf numFmtId="41" fontId="42" fillId="0" borderId="13" xfId="43" applyFont="1" applyBorder="1" applyAlignment="1">
      <alignment vertical="center"/>
    </xf>
    <xf numFmtId="170" fontId="43" fillId="0" borderId="13" xfId="43" applyNumberFormat="1" applyFont="1" applyBorder="1" applyAlignment="1">
      <alignment vertical="center"/>
    </xf>
    <xf numFmtId="41" fontId="43" fillId="0" borderId="0" xfId="43" applyFont="1" applyFill="1" applyAlignment="1">
      <alignment vertical="center"/>
    </xf>
    <xf numFmtId="41" fontId="42" fillId="0" borderId="0" xfId="43" applyFont="1" applyFill="1" applyAlignment="1">
      <alignment vertical="center"/>
    </xf>
    <xf numFmtId="170" fontId="42" fillId="0" borderId="0" xfId="43" applyNumberFormat="1" applyFont="1" applyFill="1" applyAlignment="1">
      <alignment vertical="center"/>
    </xf>
    <xf numFmtId="41" fontId="42" fillId="0" borderId="109" xfId="43" applyFont="1" applyFill="1" applyBorder="1" applyAlignment="1">
      <alignment vertical="center"/>
    </xf>
    <xf numFmtId="170" fontId="42" fillId="0" borderId="12" xfId="43" applyNumberFormat="1" applyFont="1" applyFill="1" applyBorder="1" applyAlignment="1">
      <alignment vertical="center"/>
    </xf>
    <xf numFmtId="170" fontId="42" fillId="0" borderId="82" xfId="43" applyNumberFormat="1" applyFont="1" applyBorder="1" applyAlignment="1">
      <alignment vertical="center"/>
    </xf>
    <xf numFmtId="41" fontId="42" fillId="0" borderId="12" xfId="43" applyFont="1" applyBorder="1" applyAlignment="1">
      <alignment horizontal="center" vertical="center"/>
    </xf>
    <xf numFmtId="41" fontId="43" fillId="0" borderId="0" xfId="43" applyFont="1" applyAlignment="1">
      <alignment horizontal="left" vertical="center"/>
    </xf>
    <xf numFmtId="41" fontId="43" fillId="0" borderId="104" xfId="43" applyFont="1" applyFill="1" applyBorder="1" applyAlignment="1" applyProtection="1">
      <alignment horizontal="center" vertical="center"/>
      <protection/>
    </xf>
    <xf numFmtId="43" fontId="43" fillId="0" borderId="109" xfId="42" applyFont="1" applyBorder="1" applyAlignment="1">
      <alignment vertical="center"/>
    </xf>
    <xf numFmtId="41" fontId="42" fillId="0" borderId="0" xfId="43" applyFont="1" applyBorder="1" applyAlignment="1">
      <alignment horizontal="center" vertical="center"/>
    </xf>
    <xf numFmtId="43" fontId="42" fillId="0" borderId="109" xfId="42" applyFont="1" applyBorder="1" applyAlignment="1">
      <alignment vertical="center"/>
    </xf>
    <xf numFmtId="41" fontId="44" fillId="0" borderId="109" xfId="43" applyFont="1" applyFill="1" applyBorder="1" applyAlignment="1" applyProtection="1">
      <alignment vertical="center"/>
      <protection/>
    </xf>
    <xf numFmtId="41" fontId="45" fillId="0" borderId="0" xfId="43" applyFont="1" applyFill="1" applyBorder="1" applyAlignment="1">
      <alignment vertical="center"/>
    </xf>
    <xf numFmtId="41" fontId="44" fillId="0" borderId="0" xfId="43" applyFont="1" applyFill="1" applyBorder="1" applyAlignment="1" applyProtection="1">
      <alignment horizontal="left" vertical="center"/>
      <protection/>
    </xf>
    <xf numFmtId="41" fontId="44" fillId="0" borderId="0" xfId="43" applyFont="1" applyBorder="1" applyAlignment="1">
      <alignment vertical="center"/>
    </xf>
    <xf numFmtId="41" fontId="44" fillId="0" borderId="0" xfId="43" applyFont="1" applyBorder="1" applyAlignment="1">
      <alignment horizontal="center" vertical="center"/>
    </xf>
    <xf numFmtId="41" fontId="44" fillId="0" borderId="109" xfId="43" applyFont="1" applyBorder="1" applyAlignment="1">
      <alignment horizontal="center" vertical="center"/>
    </xf>
    <xf numFmtId="41" fontId="43" fillId="33" borderId="0" xfId="43" applyFont="1" applyFill="1" applyBorder="1" applyAlignment="1">
      <alignment horizontal="left" vertical="center"/>
    </xf>
    <xf numFmtId="41" fontId="44" fillId="33" borderId="109" xfId="43" applyFont="1" applyFill="1" applyBorder="1" applyAlignment="1" applyProtection="1">
      <alignment vertical="center"/>
      <protection/>
    </xf>
    <xf numFmtId="41" fontId="44" fillId="0" borderId="0" xfId="43" applyFont="1" applyFill="1" applyBorder="1" applyAlignment="1" applyProtection="1">
      <alignment horizontal="center" vertical="center"/>
      <protection/>
    </xf>
    <xf numFmtId="41" fontId="44" fillId="0" borderId="109" xfId="43" applyFont="1" applyFill="1" applyBorder="1" applyAlignment="1">
      <alignment horizontal="center" vertical="center"/>
    </xf>
    <xf numFmtId="41" fontId="42" fillId="0" borderId="12" xfId="43" applyFont="1" applyFill="1" applyBorder="1" applyAlignment="1" applyProtection="1">
      <alignment horizontal="center" vertical="center"/>
      <protection/>
    </xf>
    <xf numFmtId="41" fontId="42" fillId="0" borderId="82" xfId="43" applyFont="1" applyFill="1" applyBorder="1" applyAlignment="1" applyProtection="1">
      <alignment horizontal="center" vertical="center"/>
      <protection/>
    </xf>
    <xf numFmtId="170" fontId="42" fillId="0" borderId="109" xfId="43" applyNumberFormat="1" applyFont="1" applyFill="1" applyBorder="1" applyAlignment="1">
      <alignment horizontal="center" vertical="center"/>
    </xf>
    <xf numFmtId="170" fontId="42" fillId="0" borderId="110" xfId="43" applyNumberFormat="1" applyFont="1" applyFill="1" applyBorder="1" applyAlignment="1" applyProtection="1">
      <alignment vertical="center"/>
      <protection/>
    </xf>
    <xf numFmtId="41" fontId="43" fillId="0" borderId="109" xfId="43" applyFont="1" applyBorder="1" applyAlignment="1">
      <alignment vertical="center"/>
    </xf>
    <xf numFmtId="41" fontId="7" fillId="0" borderId="0" xfId="43" applyFont="1" applyBorder="1" applyAlignment="1">
      <alignment vertical="center"/>
    </xf>
    <xf numFmtId="41" fontId="8" fillId="0" borderId="0" xfId="43" applyFont="1" applyBorder="1" applyAlignment="1">
      <alignment vertical="center"/>
    </xf>
    <xf numFmtId="41" fontId="42" fillId="33" borderId="0" xfId="43" applyFont="1" applyFill="1" applyBorder="1" applyAlignment="1">
      <alignment horizontal="left" vertical="center"/>
    </xf>
    <xf numFmtId="41" fontId="42" fillId="33" borderId="109" xfId="43" applyFont="1" applyFill="1" applyBorder="1" applyAlignment="1">
      <alignment vertical="center"/>
    </xf>
    <xf numFmtId="41" fontId="43" fillId="0" borderId="0" xfId="43" applyFont="1" applyFill="1" applyBorder="1" applyAlignment="1" applyProtection="1">
      <alignment horizontal="center" vertical="center"/>
      <protection/>
    </xf>
    <xf numFmtId="41" fontId="42" fillId="0" borderId="97" xfId="43" applyFont="1" applyBorder="1" applyAlignment="1">
      <alignment vertical="center"/>
    </xf>
    <xf numFmtId="41" fontId="42" fillId="0" borderId="111" xfId="43" applyFont="1" applyFill="1" applyBorder="1" applyAlignment="1">
      <alignment vertical="center"/>
    </xf>
    <xf numFmtId="41" fontId="42" fillId="0" borderId="111" xfId="43" applyFont="1" applyFill="1" applyBorder="1" applyAlignment="1" applyProtection="1">
      <alignment horizontal="left" vertical="center"/>
      <protection/>
    </xf>
    <xf numFmtId="170" fontId="43" fillId="0" borderId="97" xfId="43" applyNumberFormat="1" applyFont="1" applyFill="1" applyBorder="1" applyAlignment="1">
      <alignment vertical="center"/>
    </xf>
    <xf numFmtId="41" fontId="8" fillId="0" borderId="0" xfId="43" applyFont="1" applyFill="1" applyBorder="1" applyAlignment="1" applyProtection="1">
      <alignment horizontal="center" vertical="center"/>
      <protection/>
    </xf>
    <xf numFmtId="41" fontId="8" fillId="0" borderId="68" xfId="43" applyFont="1" applyFill="1" applyBorder="1" applyAlignment="1" applyProtection="1">
      <alignment horizontal="center" vertical="center"/>
      <protection/>
    </xf>
    <xf numFmtId="41" fontId="7" fillId="0" borderId="112" xfId="43" applyFont="1" applyFill="1" applyBorder="1" applyAlignment="1">
      <alignment vertical="center"/>
    </xf>
    <xf numFmtId="41" fontId="7" fillId="0" borderId="66" xfId="43" applyFont="1" applyFill="1" applyBorder="1" applyAlignment="1">
      <alignment vertical="center"/>
    </xf>
    <xf numFmtId="170" fontId="7" fillId="0" borderId="113" xfId="43" applyNumberFormat="1" applyFont="1" applyFill="1" applyBorder="1" applyAlignment="1">
      <alignment vertical="center"/>
    </xf>
    <xf numFmtId="41" fontId="8" fillId="0" borderId="114" xfId="43" applyFont="1" applyFill="1" applyBorder="1" applyAlignment="1">
      <alignment horizontal="center" vertical="center"/>
    </xf>
    <xf numFmtId="41" fontId="7" fillId="0" borderId="114" xfId="43" applyFont="1" applyFill="1" applyBorder="1" applyAlignment="1">
      <alignment vertical="center"/>
    </xf>
    <xf numFmtId="41" fontId="8" fillId="0" borderId="0" xfId="43" applyFont="1" applyFill="1" applyBorder="1" applyAlignment="1">
      <alignment vertical="center"/>
    </xf>
    <xf numFmtId="41" fontId="7" fillId="0" borderId="0" xfId="43" applyFont="1" applyFill="1" applyBorder="1" applyAlignment="1">
      <alignment vertical="center"/>
    </xf>
    <xf numFmtId="170" fontId="7" fillId="0" borderId="109" xfId="43" applyNumberFormat="1" applyFont="1" applyFill="1" applyBorder="1" applyAlignment="1">
      <alignment vertical="center"/>
    </xf>
    <xf numFmtId="41" fontId="7" fillId="0" borderId="114" xfId="43" applyFont="1" applyFill="1" applyBorder="1" applyAlignment="1">
      <alignment horizontal="center" vertical="center"/>
    </xf>
    <xf numFmtId="41" fontId="7" fillId="0" borderId="0" xfId="43" applyFont="1" applyAlignment="1">
      <alignment vertical="center"/>
    </xf>
    <xf numFmtId="41" fontId="7" fillId="33" borderId="0" xfId="43" applyFont="1" applyFill="1" applyBorder="1" applyAlignment="1" applyProtection="1">
      <alignment horizontal="left" vertical="center"/>
      <protection/>
    </xf>
    <xf numFmtId="41" fontId="7" fillId="0" borderId="114" xfId="43" applyFont="1" applyFill="1" applyBorder="1" applyAlignment="1" applyProtection="1">
      <alignment horizontal="center" vertical="center"/>
      <protection/>
    </xf>
    <xf numFmtId="41" fontId="9" fillId="33" borderId="0" xfId="43" applyFont="1" applyFill="1" applyBorder="1" applyAlignment="1" applyProtection="1">
      <alignment horizontal="left" vertical="center"/>
      <protection/>
    </xf>
    <xf numFmtId="170" fontId="7" fillId="0" borderId="0" xfId="43" applyNumberFormat="1" applyFont="1" applyFill="1" applyBorder="1" applyAlignment="1">
      <alignment vertical="center"/>
    </xf>
    <xf numFmtId="41" fontId="7" fillId="0" borderId="114" xfId="43" applyFont="1" applyFill="1" applyBorder="1" applyAlignment="1" applyProtection="1">
      <alignment horizontal="left" vertical="center"/>
      <protection/>
    </xf>
    <xf numFmtId="170" fontId="7" fillId="0" borderId="0" xfId="43" applyNumberFormat="1" applyFont="1" applyFill="1" applyBorder="1" applyAlignment="1" applyProtection="1">
      <alignment horizontal="left" vertical="center"/>
      <protection/>
    </xf>
    <xf numFmtId="170" fontId="7" fillId="0" borderId="109" xfId="43" applyNumberFormat="1" applyFont="1" applyFill="1" applyBorder="1" applyAlignment="1" applyProtection="1">
      <alignment vertical="center"/>
      <protection/>
    </xf>
    <xf numFmtId="170" fontId="7" fillId="0" borderId="0" xfId="42" applyNumberFormat="1" applyFont="1" applyFill="1" applyBorder="1" applyAlignment="1" applyProtection="1">
      <alignment vertical="center"/>
      <protection/>
    </xf>
    <xf numFmtId="170" fontId="7" fillId="0" borderId="115" xfId="43" applyNumberFormat="1" applyFont="1" applyFill="1" applyBorder="1" applyAlignment="1" applyProtection="1">
      <alignment vertical="center"/>
      <protection/>
    </xf>
    <xf numFmtId="41" fontId="8" fillId="0" borderId="114" xfId="43" applyFont="1" applyFill="1" applyBorder="1" applyAlignment="1" applyProtection="1">
      <alignment horizontal="center" vertical="center"/>
      <protection/>
    </xf>
    <xf numFmtId="41" fontId="7" fillId="0" borderId="114" xfId="43" applyFont="1" applyFill="1" applyBorder="1" applyAlignment="1" applyProtection="1">
      <alignment horizontal="right" vertical="center"/>
      <protection/>
    </xf>
    <xf numFmtId="170" fontId="7" fillId="0" borderId="0" xfId="43" applyNumberFormat="1" applyFont="1" applyFill="1" applyBorder="1" applyAlignment="1" applyProtection="1">
      <alignment vertical="center"/>
      <protection/>
    </xf>
    <xf numFmtId="41" fontId="7" fillId="0" borderId="115" xfId="43" applyFont="1" applyBorder="1" applyAlignment="1">
      <alignment vertical="center"/>
    </xf>
    <xf numFmtId="41" fontId="8" fillId="0" borderId="114" xfId="43" applyFont="1" applyFill="1" applyBorder="1" applyAlignment="1">
      <alignment vertical="center"/>
    </xf>
    <xf numFmtId="41" fontId="47" fillId="33" borderId="0" xfId="43" applyFont="1" applyFill="1" applyBorder="1" applyAlignment="1">
      <alignment horizontal="left" vertical="center"/>
    </xf>
    <xf numFmtId="41" fontId="9" fillId="0" borderId="0" xfId="43" applyFont="1" applyAlignment="1">
      <alignment horizontal="center" vertical="center"/>
    </xf>
    <xf numFmtId="41" fontId="7" fillId="0" borderId="0" xfId="43" applyFont="1" applyAlignment="1">
      <alignment horizontal="center" vertical="center"/>
    </xf>
    <xf numFmtId="41" fontId="9" fillId="33" borderId="0" xfId="43" applyFont="1" applyFill="1" applyBorder="1" applyAlignment="1">
      <alignment horizontal="center" vertical="center"/>
    </xf>
    <xf numFmtId="41" fontId="7" fillId="0" borderId="26" xfId="43" applyFont="1" applyBorder="1" applyAlignment="1">
      <alignment vertical="center"/>
    </xf>
    <xf numFmtId="41" fontId="7" fillId="0" borderId="98" xfId="43" applyFont="1" applyFill="1" applyBorder="1" applyAlignment="1">
      <alignment vertical="center"/>
    </xf>
    <xf numFmtId="41" fontId="7" fillId="0" borderId="12" xfId="43" applyFont="1" applyFill="1" applyBorder="1" applyAlignment="1">
      <alignment vertical="center"/>
    </xf>
    <xf numFmtId="170" fontId="7" fillId="0" borderId="104" xfId="43" applyNumberFormat="1" applyFont="1" applyFill="1" applyBorder="1" applyAlignment="1" applyProtection="1">
      <alignment vertical="center"/>
      <protection/>
    </xf>
    <xf numFmtId="41" fontId="7" fillId="0" borderId="95" xfId="43" applyFont="1" applyFill="1" applyBorder="1" applyAlignment="1">
      <alignment vertical="center"/>
    </xf>
    <xf numFmtId="41" fontId="7" fillId="0" borderId="82" xfId="43" applyFont="1" applyFill="1" applyBorder="1" applyAlignment="1">
      <alignment vertical="center"/>
    </xf>
    <xf numFmtId="41" fontId="7" fillId="0" borderId="82" xfId="43" applyFont="1" applyFill="1" applyBorder="1" applyAlignment="1" applyProtection="1">
      <alignment horizontal="left" vertical="center"/>
      <protection/>
    </xf>
    <xf numFmtId="41" fontId="7" fillId="0" borderId="82" xfId="43" applyFont="1" applyBorder="1" applyAlignment="1">
      <alignment vertical="center"/>
    </xf>
    <xf numFmtId="170" fontId="7" fillId="0" borderId="13" xfId="43" applyNumberFormat="1" applyFont="1" applyFill="1" applyBorder="1" applyAlignment="1" applyProtection="1">
      <alignment vertical="center"/>
      <protection/>
    </xf>
    <xf numFmtId="41" fontId="7" fillId="0" borderId="0" xfId="43" applyFont="1" applyFill="1" applyBorder="1" applyAlignment="1">
      <alignment horizontal="center" vertical="center"/>
    </xf>
    <xf numFmtId="41" fontId="7" fillId="0" borderId="98" xfId="43" applyFont="1" applyFill="1" applyBorder="1" applyAlignment="1">
      <alignment horizontal="center" vertical="center"/>
    </xf>
    <xf numFmtId="41" fontId="7" fillId="0" borderId="12" xfId="43" applyFont="1" applyFill="1" applyBorder="1" applyAlignment="1">
      <alignment horizontal="center" vertical="center"/>
    </xf>
    <xf numFmtId="41" fontId="8" fillId="0" borderId="12" xfId="43" applyFont="1" applyFill="1" applyBorder="1" applyAlignment="1">
      <alignment vertical="center"/>
    </xf>
    <xf numFmtId="41" fontId="8" fillId="0" borderId="12" xfId="43" applyFont="1" applyFill="1" applyBorder="1" applyAlignment="1" applyProtection="1">
      <alignment horizontal="left" vertical="center"/>
      <protection/>
    </xf>
    <xf numFmtId="41" fontId="8" fillId="0" borderId="12" xfId="43" applyFont="1" applyBorder="1" applyAlignment="1">
      <alignment vertical="center"/>
    </xf>
    <xf numFmtId="170" fontId="8" fillId="0" borderId="104" xfId="43" applyNumberFormat="1" applyFont="1" applyFill="1" applyBorder="1" applyAlignment="1" applyProtection="1">
      <alignment vertical="center"/>
      <protection/>
    </xf>
    <xf numFmtId="41" fontId="7" fillId="0" borderId="68" xfId="43" applyFont="1" applyFill="1" applyBorder="1" applyAlignment="1" applyProtection="1">
      <alignment horizontal="left" vertical="center"/>
      <protection/>
    </xf>
    <xf numFmtId="41" fontId="8" fillId="0" borderId="68" xfId="43" applyFont="1" applyFill="1" applyBorder="1" applyAlignment="1">
      <alignment vertical="center"/>
    </xf>
    <xf numFmtId="41" fontId="2" fillId="0" borderId="68" xfId="43" applyFont="1" applyBorder="1" applyAlignment="1">
      <alignment vertical="center"/>
    </xf>
    <xf numFmtId="41" fontId="7" fillId="0" borderId="68" xfId="43" applyFont="1" applyBorder="1" applyAlignment="1">
      <alignment vertical="center"/>
    </xf>
    <xf numFmtId="170" fontId="7" fillId="0" borderId="110" xfId="43" applyNumberFormat="1" applyFont="1" applyFill="1" applyBorder="1" applyAlignment="1" applyProtection="1">
      <alignment vertical="center"/>
      <protection/>
    </xf>
    <xf numFmtId="170" fontId="8" fillId="0" borderId="109" xfId="43" applyNumberFormat="1" applyFont="1" applyBorder="1" applyAlignment="1" applyProtection="1">
      <alignment vertical="center"/>
      <protection/>
    </xf>
    <xf numFmtId="41" fontId="7" fillId="0" borderId="116" xfId="43" applyFont="1" applyBorder="1" applyAlignment="1">
      <alignment vertical="center"/>
    </xf>
    <xf numFmtId="172" fontId="1" fillId="0" borderId="46" xfId="42" applyNumberFormat="1" applyFont="1" applyFill="1" applyBorder="1" applyAlignment="1">
      <alignment vertical="center"/>
    </xf>
    <xf numFmtId="43" fontId="1" fillId="0" borderId="66" xfId="42" applyFont="1" applyFill="1" applyBorder="1" applyAlignment="1">
      <alignment vertical="center"/>
    </xf>
    <xf numFmtId="43" fontId="1" fillId="0" borderId="49" xfId="42" applyFont="1" applyFill="1" applyBorder="1" applyAlignment="1">
      <alignment vertical="center"/>
    </xf>
    <xf numFmtId="41" fontId="43" fillId="0" borderId="16" xfId="43" applyFont="1" applyFill="1" applyBorder="1" applyAlignment="1" applyProtection="1">
      <alignment horizontal="left" vertical="center"/>
      <protection/>
    </xf>
    <xf numFmtId="41" fontId="37" fillId="0" borderId="17" xfId="43" applyFont="1" applyFill="1" applyBorder="1" applyAlignment="1" applyProtection="1">
      <alignment horizontal="center" vertical="center"/>
      <protection/>
    </xf>
    <xf numFmtId="41" fontId="43" fillId="0" borderId="16" xfId="43" applyFont="1" applyBorder="1" applyAlignment="1">
      <alignment vertical="center"/>
    </xf>
    <xf numFmtId="41" fontId="37" fillId="0" borderId="17" xfId="43" applyFont="1" applyBorder="1" applyAlignment="1">
      <alignment vertical="center"/>
    </xf>
    <xf numFmtId="41" fontId="42" fillId="33" borderId="117" xfId="43" applyFont="1" applyFill="1" applyBorder="1" applyAlignment="1" applyProtection="1">
      <alignment horizontal="center" vertical="center"/>
      <protection/>
    </xf>
    <xf numFmtId="41" fontId="42" fillId="0" borderId="110" xfId="43" applyFont="1" applyFill="1" applyBorder="1" applyAlignment="1" applyProtection="1">
      <alignment vertical="center"/>
      <protection/>
    </xf>
    <xf numFmtId="41" fontId="42" fillId="0" borderId="68" xfId="43" applyFont="1" applyFill="1" applyBorder="1" applyAlignment="1">
      <alignment vertical="center"/>
    </xf>
    <xf numFmtId="41" fontId="42" fillId="0" borderId="68" xfId="43" applyFont="1" applyBorder="1" applyAlignment="1">
      <alignment vertical="center"/>
    </xf>
    <xf numFmtId="0" fontId="42" fillId="0" borderId="68" xfId="0" applyFont="1" applyBorder="1" applyAlignment="1">
      <alignment horizontal="right"/>
    </xf>
    <xf numFmtId="41" fontId="42" fillId="0" borderId="110" xfId="43" applyFont="1" applyFill="1" applyBorder="1" applyAlignment="1">
      <alignment horizontal="center" vertical="center"/>
    </xf>
    <xf numFmtId="170" fontId="42" fillId="0" borderId="110" xfId="43" applyNumberFormat="1" applyFont="1" applyFill="1" applyBorder="1" applyAlignment="1">
      <alignment vertical="center"/>
    </xf>
    <xf numFmtId="170" fontId="42" fillId="33" borderId="110" xfId="43" applyNumberFormat="1" applyFont="1" applyFill="1" applyBorder="1" applyAlignment="1" applyProtection="1">
      <alignment vertical="center"/>
      <protection/>
    </xf>
    <xf numFmtId="170" fontId="42" fillId="33" borderId="118" xfId="43" applyNumberFormat="1" applyFont="1" applyFill="1" applyBorder="1" applyAlignment="1" applyProtection="1">
      <alignment vertical="center"/>
      <protection/>
    </xf>
    <xf numFmtId="41" fontId="42" fillId="0" borderId="118" xfId="43" applyFont="1" applyFill="1" applyBorder="1" applyAlignment="1" applyProtection="1">
      <alignment vertical="center"/>
      <protection/>
    </xf>
    <xf numFmtId="41" fontId="42" fillId="0" borderId="76" xfId="43" applyFont="1" applyFill="1" applyBorder="1" applyAlignment="1">
      <alignment vertical="center"/>
    </xf>
    <xf numFmtId="41" fontId="42" fillId="0" borderId="76" xfId="43" applyFont="1" applyBorder="1" applyAlignment="1">
      <alignment vertical="center"/>
    </xf>
    <xf numFmtId="0" fontId="42" fillId="0" borderId="76" xfId="0" applyFont="1" applyBorder="1" applyAlignment="1">
      <alignment horizontal="right"/>
    </xf>
    <xf numFmtId="41" fontId="42" fillId="0" borderId="118" xfId="43" applyFont="1" applyFill="1" applyBorder="1" applyAlignment="1">
      <alignment horizontal="center" vertical="center"/>
    </xf>
    <xf numFmtId="170" fontId="42" fillId="0" borderId="118" xfId="43" applyNumberFormat="1" applyFont="1" applyFill="1" applyBorder="1" applyAlignment="1">
      <alignment vertical="center"/>
    </xf>
    <xf numFmtId="43" fontId="7" fillId="0" borderId="0" xfId="43" applyNumberFormat="1" applyFont="1" applyFill="1" applyBorder="1" applyAlignment="1">
      <alignment vertical="center"/>
    </xf>
    <xf numFmtId="43" fontId="7" fillId="0" borderId="26" xfId="43" applyNumberFormat="1" applyFont="1" applyFill="1" applyBorder="1" applyAlignment="1">
      <alignment vertical="center"/>
    </xf>
    <xf numFmtId="172" fontId="1" fillId="0" borderId="16" xfId="42" applyNumberFormat="1" applyFont="1" applyFill="1" applyBorder="1" applyAlignment="1">
      <alignment vertical="center"/>
    </xf>
    <xf numFmtId="43" fontId="1" fillId="0" borderId="0" xfId="42" applyFont="1" applyFill="1" applyBorder="1" applyAlignment="1">
      <alignment vertical="center"/>
    </xf>
    <xf numFmtId="43" fontId="1" fillId="0" borderId="17" xfId="42" applyFont="1" applyFill="1" applyBorder="1" applyAlignment="1">
      <alignment vertical="center"/>
    </xf>
    <xf numFmtId="41" fontId="37" fillId="33" borderId="13" xfId="43" applyFont="1" applyFill="1" applyBorder="1" applyAlignment="1" applyProtection="1">
      <alignment horizontal="center" vertical="center"/>
      <protection/>
    </xf>
    <xf numFmtId="170" fontId="43" fillId="0" borderId="109" xfId="43" applyNumberFormat="1" applyFont="1" applyFill="1" applyBorder="1" applyAlignment="1" applyProtection="1">
      <alignment horizontal="center" vertical="center"/>
      <protection/>
    </xf>
    <xf numFmtId="41" fontId="49" fillId="0" borderId="109" xfId="43" applyFont="1" applyFill="1" applyBorder="1" applyAlignment="1" applyProtection="1">
      <alignment horizontal="center" vertical="center"/>
      <protection/>
    </xf>
    <xf numFmtId="41" fontId="49" fillId="0" borderId="0" xfId="43" applyFont="1" applyFill="1" applyBorder="1" applyAlignment="1">
      <alignment vertical="center"/>
    </xf>
    <xf numFmtId="41" fontId="49" fillId="0" borderId="0" xfId="43" applyFont="1" applyFill="1" applyBorder="1" applyAlignment="1" applyProtection="1">
      <alignment horizontal="left" vertical="center"/>
      <protection/>
    </xf>
    <xf numFmtId="41" fontId="35" fillId="0" borderId="0" xfId="43" applyFont="1" applyFill="1" applyBorder="1" applyAlignment="1">
      <alignment vertical="center"/>
    </xf>
    <xf numFmtId="41" fontId="49" fillId="0" borderId="0" xfId="43" applyFont="1" applyAlignment="1">
      <alignment vertical="center"/>
    </xf>
    <xf numFmtId="41" fontId="42" fillId="0" borderId="97" xfId="43" applyFont="1" applyFill="1" applyBorder="1" applyAlignment="1" applyProtection="1">
      <alignment vertical="center"/>
      <protection/>
    </xf>
    <xf numFmtId="41" fontId="43" fillId="33" borderId="109" xfId="43" applyFont="1" applyFill="1" applyBorder="1" applyAlignment="1" applyProtection="1">
      <alignment horizontal="right" vertical="center"/>
      <protection/>
    </xf>
    <xf numFmtId="41" fontId="43" fillId="0" borderId="109" xfId="43" applyFont="1" applyFill="1" applyBorder="1" applyAlignment="1" applyProtection="1">
      <alignment horizontal="right" vertical="center"/>
      <protection/>
    </xf>
    <xf numFmtId="41" fontId="49" fillId="0" borderId="109" xfId="43" applyFont="1" applyFill="1" applyBorder="1" applyAlignment="1" applyProtection="1">
      <alignment horizontal="left" vertical="center"/>
      <protection/>
    </xf>
    <xf numFmtId="41" fontId="49" fillId="33" borderId="0" xfId="43" applyFont="1" applyFill="1" applyBorder="1" applyAlignment="1">
      <alignment horizontal="left" vertical="center"/>
    </xf>
    <xf numFmtId="41" fontId="42" fillId="0" borderId="113" xfId="43" applyFont="1" applyFill="1" applyBorder="1" applyAlignment="1" applyProtection="1">
      <alignment vertical="center"/>
      <protection/>
    </xf>
    <xf numFmtId="41" fontId="42" fillId="0" borderId="66" xfId="43" applyFont="1" applyFill="1" applyBorder="1" applyAlignment="1" applyProtection="1">
      <alignment horizontal="center" vertical="center"/>
      <protection/>
    </xf>
    <xf numFmtId="41" fontId="42" fillId="0" borderId="66" xfId="43" applyFont="1" applyBorder="1" applyAlignment="1">
      <alignment vertical="center"/>
    </xf>
    <xf numFmtId="41" fontId="42" fillId="0" borderId="113" xfId="43" applyFont="1" applyFill="1" applyBorder="1" applyAlignment="1">
      <alignment horizontal="center" vertical="center"/>
    </xf>
    <xf numFmtId="170" fontId="42" fillId="0" borderId="113" xfId="43" applyNumberFormat="1" applyFont="1" applyFill="1" applyBorder="1" applyAlignment="1">
      <alignment vertical="center"/>
    </xf>
    <xf numFmtId="170" fontId="43" fillId="0" borderId="113" xfId="43" applyNumberFormat="1" applyFont="1" applyFill="1" applyBorder="1" applyAlignment="1">
      <alignment vertical="center"/>
    </xf>
    <xf numFmtId="41" fontId="43" fillId="0" borderId="113" xfId="43" applyFont="1" applyFill="1" applyBorder="1" applyAlignment="1" applyProtection="1">
      <alignment horizontal="center" vertical="center"/>
      <protection/>
    </xf>
    <xf numFmtId="41" fontId="43" fillId="0" borderId="66" xfId="43" applyFont="1" applyFill="1" applyBorder="1" applyAlignment="1">
      <alignment vertical="center"/>
    </xf>
    <xf numFmtId="41" fontId="43" fillId="0" borderId="66" xfId="43" applyFont="1" applyFill="1" applyBorder="1" applyAlignment="1" applyProtection="1">
      <alignment horizontal="left" vertical="center"/>
      <protection/>
    </xf>
    <xf numFmtId="41" fontId="42" fillId="0" borderId="66" xfId="43" applyFont="1" applyFill="1" applyBorder="1" applyAlignment="1" applyProtection="1">
      <alignment horizontal="left" vertical="center"/>
      <protection/>
    </xf>
    <xf numFmtId="170" fontId="42" fillId="0" borderId="113" xfId="43" applyNumberFormat="1" applyFont="1" applyFill="1" applyBorder="1" applyAlignment="1" applyProtection="1">
      <alignment vertical="center"/>
      <protection/>
    </xf>
    <xf numFmtId="170" fontId="43" fillId="0" borderId="99" xfId="43" applyNumberFormat="1" applyFont="1" applyFill="1" applyBorder="1" applyAlignment="1" applyProtection="1">
      <alignment horizontal="left" vertical="center"/>
      <protection/>
    </xf>
    <xf numFmtId="170" fontId="42" fillId="0" borderId="100" xfId="43" applyNumberFormat="1" applyFont="1" applyFill="1" applyBorder="1" applyAlignment="1" applyProtection="1">
      <alignment horizontal="left" vertical="center"/>
      <protection/>
    </xf>
    <xf numFmtId="170" fontId="43" fillId="0" borderId="111" xfId="43" applyNumberFormat="1" applyFont="1" applyFill="1" applyBorder="1" applyAlignment="1" applyProtection="1">
      <alignment vertical="center"/>
      <protection/>
    </xf>
    <xf numFmtId="170" fontId="43" fillId="0" borderId="111" xfId="43" applyNumberFormat="1" applyFont="1" applyFill="1" applyBorder="1" applyAlignment="1" applyProtection="1">
      <alignment horizontal="left" vertical="center"/>
      <protection/>
    </xf>
    <xf numFmtId="170" fontId="42" fillId="0" borderId="111" xfId="43" applyNumberFormat="1" applyFont="1" applyFill="1" applyBorder="1" applyAlignment="1" applyProtection="1">
      <alignment vertical="center"/>
      <protection/>
    </xf>
    <xf numFmtId="170" fontId="43" fillId="0" borderId="99" xfId="43" applyNumberFormat="1" applyFont="1" applyFill="1" applyBorder="1" applyAlignment="1" applyProtection="1">
      <alignment vertical="center"/>
      <protection/>
    </xf>
    <xf numFmtId="170" fontId="42" fillId="0" borderId="100" xfId="43" applyNumberFormat="1" applyFont="1" applyFill="1" applyBorder="1" applyAlignment="1" applyProtection="1">
      <alignment vertical="center"/>
      <protection/>
    </xf>
    <xf numFmtId="41" fontId="43" fillId="0" borderId="95" xfId="43" applyFont="1" applyBorder="1" applyAlignment="1">
      <alignment vertical="center"/>
    </xf>
    <xf numFmtId="41" fontId="43" fillId="0" borderId="82" xfId="43" applyFont="1" applyBorder="1" applyAlignment="1">
      <alignment vertical="center"/>
    </xf>
    <xf numFmtId="41" fontId="42" fillId="0" borderId="96" xfId="43" applyFont="1" applyBorder="1" applyAlignment="1">
      <alignment vertical="center"/>
    </xf>
    <xf numFmtId="170" fontId="43" fillId="33" borderId="95" xfId="43" applyNumberFormat="1" applyFont="1" applyFill="1" applyBorder="1" applyAlignment="1" applyProtection="1">
      <alignment vertical="center"/>
      <protection/>
    </xf>
    <xf numFmtId="170" fontId="42" fillId="0" borderId="82" xfId="43" applyNumberFormat="1" applyFont="1" applyFill="1" applyBorder="1" applyAlignment="1">
      <alignment vertical="center"/>
    </xf>
    <xf numFmtId="170" fontId="43" fillId="33" borderId="82" xfId="43" applyNumberFormat="1" applyFont="1" applyFill="1" applyBorder="1" applyAlignment="1" applyProtection="1">
      <alignment vertical="center"/>
      <protection/>
    </xf>
    <xf numFmtId="170" fontId="42" fillId="0" borderId="96" xfId="43" applyNumberFormat="1" applyFont="1" applyFill="1" applyBorder="1" applyAlignment="1">
      <alignment vertical="center"/>
    </xf>
    <xf numFmtId="41" fontId="42" fillId="0" borderId="98" xfId="43" applyFont="1" applyFill="1" applyBorder="1" applyAlignment="1">
      <alignment horizontal="center" vertical="center"/>
    </xf>
    <xf numFmtId="170" fontId="42" fillId="33" borderId="12" xfId="43" applyNumberFormat="1" applyFont="1" applyFill="1" applyBorder="1" applyAlignment="1" applyProtection="1">
      <alignment vertical="center"/>
      <protection/>
    </xf>
    <xf numFmtId="170" fontId="42" fillId="0" borderId="106" xfId="43" applyNumberFormat="1" applyFont="1" applyFill="1" applyBorder="1" applyAlignment="1">
      <alignment vertical="center"/>
    </xf>
    <xf numFmtId="170" fontId="43" fillId="0" borderId="95" xfId="43" applyNumberFormat="1" applyFont="1" applyFill="1" applyBorder="1" applyAlignment="1">
      <alignment vertical="center"/>
    </xf>
    <xf numFmtId="170" fontId="43" fillId="0" borderId="82" xfId="43" applyNumberFormat="1" applyFont="1" applyFill="1" applyBorder="1" applyAlignment="1">
      <alignment vertical="center"/>
    </xf>
    <xf numFmtId="41" fontId="40" fillId="0" borderId="0" xfId="43" applyFont="1" applyFill="1" applyBorder="1" applyAlignment="1" applyProtection="1">
      <alignment horizontal="center" vertical="center"/>
      <protection/>
    </xf>
    <xf numFmtId="41" fontId="50" fillId="0" borderId="0" xfId="43" applyFont="1" applyBorder="1" applyAlignment="1">
      <alignment horizontal="center" vertical="center"/>
    </xf>
    <xf numFmtId="41" fontId="8" fillId="0" borderId="0" xfId="43" applyFont="1" applyBorder="1" applyAlignment="1">
      <alignment horizontal="center" vertical="center"/>
    </xf>
    <xf numFmtId="41" fontId="7" fillId="0" borderId="0" xfId="43" applyFont="1" applyBorder="1" applyAlignment="1">
      <alignment horizontal="center" vertical="center"/>
    </xf>
    <xf numFmtId="43" fontId="1" fillId="35" borderId="0" xfId="42" applyFont="1" applyFill="1" applyBorder="1" applyAlignment="1" applyProtection="1">
      <alignment vertical="center"/>
      <protection/>
    </xf>
    <xf numFmtId="41" fontId="37" fillId="33" borderId="0" xfId="43" applyFont="1" applyFill="1" applyBorder="1" applyAlignment="1" applyProtection="1">
      <alignment horizontal="center" vertical="center"/>
      <protection/>
    </xf>
    <xf numFmtId="170" fontId="37" fillId="0" borderId="0" xfId="43" applyNumberFormat="1" applyFont="1" applyFill="1" applyBorder="1" applyAlignment="1" applyProtection="1">
      <alignment horizontal="center" vertical="center"/>
      <protection/>
    </xf>
    <xf numFmtId="170" fontId="42" fillId="0" borderId="0" xfId="43" applyNumberFormat="1" applyFont="1" applyFill="1" applyBorder="1" applyAlignment="1" applyProtection="1">
      <alignment vertical="center"/>
      <protection/>
    </xf>
    <xf numFmtId="170" fontId="43" fillId="0" borderId="0" xfId="43" applyNumberFormat="1" applyFont="1" applyFill="1" applyBorder="1" applyAlignment="1" applyProtection="1">
      <alignment vertical="center"/>
      <protection/>
    </xf>
    <xf numFmtId="170" fontId="43" fillId="33" borderId="0" xfId="43" applyNumberFormat="1" applyFont="1" applyFill="1" applyBorder="1" applyAlignment="1" applyProtection="1">
      <alignment vertical="center"/>
      <protection/>
    </xf>
    <xf numFmtId="170" fontId="42" fillId="33" borderId="0" xfId="43" applyNumberFormat="1" applyFont="1" applyFill="1" applyBorder="1" applyAlignment="1">
      <alignment vertical="center"/>
    </xf>
    <xf numFmtId="170" fontId="42" fillId="33" borderId="0" xfId="43" applyNumberFormat="1" applyFont="1" applyFill="1" applyBorder="1" applyAlignment="1" applyProtection="1">
      <alignment vertical="center"/>
      <protection/>
    </xf>
    <xf numFmtId="170" fontId="43" fillId="33" borderId="0" xfId="43" applyNumberFormat="1" applyFont="1" applyFill="1" applyBorder="1" applyAlignment="1">
      <alignment vertical="center"/>
    </xf>
    <xf numFmtId="170" fontId="43" fillId="0" borderId="0" xfId="43" applyNumberFormat="1" applyFont="1" applyBorder="1" applyAlignment="1">
      <alignment vertical="center"/>
    </xf>
    <xf numFmtId="43" fontId="43" fillId="0" borderId="0" xfId="42" applyFont="1" applyBorder="1" applyAlignment="1">
      <alignment vertical="center"/>
    </xf>
    <xf numFmtId="170" fontId="42" fillId="0" borderId="0" xfId="43" applyNumberFormat="1" applyFont="1" applyFill="1" applyBorder="1" applyAlignment="1">
      <alignment horizontal="center" vertical="center"/>
    </xf>
    <xf numFmtId="170" fontId="43" fillId="0" borderId="97" xfId="43" applyNumberFormat="1" applyFont="1" applyFill="1" applyBorder="1" applyAlignment="1" applyProtection="1">
      <alignment vertical="center"/>
      <protection/>
    </xf>
    <xf numFmtId="41" fontId="51" fillId="0" borderId="0" xfId="43" applyFont="1" applyAlignment="1">
      <alignment vertical="center"/>
    </xf>
    <xf numFmtId="41" fontId="51" fillId="36" borderId="0" xfId="43" applyFont="1" applyFill="1" applyAlignment="1">
      <alignment vertical="center"/>
    </xf>
    <xf numFmtId="170" fontId="51" fillId="36" borderId="0" xfId="43" applyNumberFormat="1" applyFont="1" applyFill="1" applyAlignment="1">
      <alignment vertical="center"/>
    </xf>
    <xf numFmtId="170" fontId="51" fillId="0" borderId="0" xfId="43" applyNumberFormat="1" applyFont="1" applyAlignment="1">
      <alignment vertical="center"/>
    </xf>
    <xf numFmtId="171" fontId="51" fillId="0" borderId="0" xfId="43" applyNumberFormat="1" applyFont="1" applyAlignment="1">
      <alignment vertical="center"/>
    </xf>
    <xf numFmtId="41" fontId="51" fillId="0" borderId="0" xfId="43" applyNumberFormat="1" applyFont="1" applyAlignment="1">
      <alignment vertical="center"/>
    </xf>
    <xf numFmtId="170" fontId="51" fillId="0" borderId="0" xfId="43" applyNumberFormat="1" applyFont="1" applyFill="1" applyBorder="1" applyAlignment="1" applyProtection="1">
      <alignment vertical="center"/>
      <protection/>
    </xf>
    <xf numFmtId="41" fontId="51" fillId="0" borderId="0" xfId="43" applyFont="1" applyFill="1" applyAlignment="1">
      <alignment vertical="center"/>
    </xf>
    <xf numFmtId="170" fontId="51" fillId="0" borderId="0" xfId="43" applyNumberFormat="1" applyFont="1" applyFill="1" applyAlignment="1">
      <alignment vertical="center"/>
    </xf>
    <xf numFmtId="41" fontId="51" fillId="0" borderId="0" xfId="43" applyFont="1" applyBorder="1" applyAlignment="1">
      <alignment vertical="center"/>
    </xf>
    <xf numFmtId="170" fontId="51" fillId="0" borderId="0" xfId="43" applyNumberFormat="1" applyFont="1" applyBorder="1" applyAlignment="1">
      <alignment vertical="center"/>
    </xf>
    <xf numFmtId="41" fontId="51" fillId="0" borderId="0" xfId="43" applyFont="1" applyFill="1" applyBorder="1" applyAlignment="1">
      <alignment vertical="center"/>
    </xf>
    <xf numFmtId="170" fontId="51" fillId="0" borderId="0" xfId="43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170" fontId="87" fillId="0" borderId="0" xfId="43" applyNumberFormat="1" applyFont="1" applyBorder="1" applyAlignment="1">
      <alignment vertical="center"/>
    </xf>
    <xf numFmtId="170" fontId="87" fillId="0" borderId="0" xfId="43" applyNumberFormat="1" applyFont="1" applyAlignment="1">
      <alignment vertical="center"/>
    </xf>
    <xf numFmtId="41" fontId="42" fillId="0" borderId="0" xfId="43" applyNumberFormat="1" applyFont="1" applyFill="1" applyBorder="1" applyAlignment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79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76" xfId="0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121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21" xfId="0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43" fontId="16" fillId="0" borderId="18" xfId="42" applyFont="1" applyBorder="1" applyAlignment="1">
      <alignment horizontal="center"/>
    </xf>
    <xf numFmtId="43" fontId="16" fillId="0" borderId="62" xfId="42" applyFont="1" applyBorder="1" applyAlignment="1">
      <alignment horizontal="center"/>
    </xf>
    <xf numFmtId="43" fontId="16" fillId="0" borderId="46" xfId="42" applyFont="1" applyBorder="1" applyAlignment="1">
      <alignment horizontal="center"/>
    </xf>
    <xf numFmtId="43" fontId="16" fillId="0" borderId="79" xfId="42" applyFont="1" applyBorder="1" applyAlignment="1">
      <alignment horizontal="center"/>
    </xf>
    <xf numFmtId="43" fontId="0" fillId="0" borderId="43" xfId="42" applyFont="1" applyBorder="1" applyAlignment="1">
      <alignment horizontal="center"/>
    </xf>
    <xf numFmtId="43" fontId="0" fillId="0" borderId="45" xfId="42" applyFont="1" applyBorder="1" applyAlignment="1">
      <alignment horizontal="center"/>
    </xf>
    <xf numFmtId="43" fontId="16" fillId="0" borderId="46" xfId="42" applyFont="1" applyBorder="1" applyAlignment="1">
      <alignment horizontal="center"/>
    </xf>
    <xf numFmtId="43" fontId="16" fillId="0" borderId="49" xfId="42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43" fontId="0" fillId="0" borderId="46" xfId="42" applyFont="1" applyBorder="1" applyAlignment="1">
      <alignment horizontal="center"/>
    </xf>
    <xf numFmtId="43" fontId="0" fillId="0" borderId="49" xfId="42" applyFont="1" applyBorder="1" applyAlignment="1">
      <alignment horizontal="center"/>
    </xf>
    <xf numFmtId="41" fontId="46" fillId="0" borderId="0" xfId="43" applyFont="1" applyFill="1" applyBorder="1" applyAlignment="1" applyProtection="1">
      <alignment horizontal="center" vertical="center"/>
      <protection/>
    </xf>
    <xf numFmtId="41" fontId="3" fillId="0" borderId="0" xfId="43" applyFont="1" applyBorder="1" applyAlignment="1">
      <alignment horizontal="center" vertical="center"/>
    </xf>
    <xf numFmtId="41" fontId="2" fillId="0" borderId="0" xfId="43" applyFont="1" applyBorder="1" applyAlignment="1">
      <alignment horizontal="center" vertical="center"/>
    </xf>
    <xf numFmtId="41" fontId="48" fillId="0" borderId="0" xfId="43" applyFont="1" applyBorder="1" applyAlignment="1">
      <alignment horizontal="center" vertical="center"/>
    </xf>
    <xf numFmtId="41" fontId="8" fillId="0" borderId="0" xfId="43" applyFont="1" applyBorder="1" applyAlignment="1">
      <alignment horizontal="center" vertical="center"/>
    </xf>
    <xf numFmtId="41" fontId="7" fillId="0" borderId="0" xfId="43" applyFont="1" applyBorder="1" applyAlignment="1">
      <alignment horizontal="center" vertical="center"/>
    </xf>
    <xf numFmtId="41" fontId="40" fillId="0" borderId="16" xfId="43" applyFont="1" applyFill="1" applyBorder="1" applyAlignment="1" applyProtection="1">
      <alignment horizontal="center" vertical="center"/>
      <protection/>
    </xf>
    <xf numFmtId="41" fontId="40" fillId="0" borderId="0" xfId="43" applyFont="1" applyFill="1" applyBorder="1" applyAlignment="1" applyProtection="1">
      <alignment horizontal="center" vertical="center"/>
      <protection/>
    </xf>
    <xf numFmtId="41" fontId="40" fillId="0" borderId="17" xfId="43" applyFont="1" applyFill="1" applyBorder="1" applyAlignment="1" applyProtection="1">
      <alignment horizontal="center" vertical="center"/>
      <protection/>
    </xf>
    <xf numFmtId="41" fontId="37" fillId="33" borderId="13" xfId="43" applyFont="1" applyFill="1" applyBorder="1" applyAlignment="1" applyProtection="1">
      <alignment horizontal="center" vertical="center"/>
      <protection/>
    </xf>
    <xf numFmtId="41" fontId="37" fillId="33" borderId="104" xfId="43" applyFont="1" applyFill="1" applyBorder="1" applyAlignment="1" applyProtection="1">
      <alignment horizontal="center" vertical="center"/>
      <protection/>
    </xf>
    <xf numFmtId="41" fontId="37" fillId="33" borderId="82" xfId="43" applyFont="1" applyFill="1" applyBorder="1" applyAlignment="1" applyProtection="1">
      <alignment horizontal="center" vertical="center"/>
      <protection/>
    </xf>
    <xf numFmtId="41" fontId="37" fillId="33" borderId="12" xfId="43" applyFont="1" applyFill="1" applyBorder="1" applyAlignment="1" applyProtection="1">
      <alignment horizontal="center" vertical="center"/>
      <protection/>
    </xf>
    <xf numFmtId="41" fontId="50" fillId="0" borderId="0" xfId="43" applyFont="1" applyBorder="1" applyAlignment="1">
      <alignment horizontal="center" vertical="center"/>
    </xf>
    <xf numFmtId="41" fontId="39" fillId="0" borderId="0" xfId="43" applyFont="1" applyFill="1" applyBorder="1" applyAlignment="1" applyProtection="1">
      <alignment horizontal="center" vertical="center"/>
      <protection/>
    </xf>
    <xf numFmtId="41" fontId="37" fillId="34" borderId="47" xfId="43" applyFont="1" applyFill="1" applyBorder="1" applyAlignment="1" applyProtection="1">
      <alignment horizontal="center" vertical="center"/>
      <protection/>
    </xf>
    <xf numFmtId="41" fontId="37" fillId="34" borderId="42" xfId="43" applyFont="1" applyFill="1" applyBorder="1" applyAlignment="1" applyProtection="1">
      <alignment horizontal="center" vertical="center"/>
      <protection/>
    </xf>
    <xf numFmtId="41" fontId="37" fillId="34" borderId="46" xfId="43" applyFont="1" applyFill="1" applyBorder="1" applyAlignment="1">
      <alignment horizontal="center" vertical="center"/>
    </xf>
    <xf numFmtId="41" fontId="37" fillId="34" borderId="66" xfId="43" applyFont="1" applyFill="1" applyBorder="1" applyAlignment="1">
      <alignment horizontal="center" vertical="center"/>
    </xf>
    <xf numFmtId="41" fontId="37" fillId="34" borderId="49" xfId="43" applyFont="1" applyFill="1" applyBorder="1" applyAlignment="1">
      <alignment horizontal="center" vertical="center"/>
    </xf>
    <xf numFmtId="41" fontId="37" fillId="34" borderId="43" xfId="43" applyFont="1" applyFill="1" applyBorder="1" applyAlignment="1">
      <alignment horizontal="center" vertical="center"/>
    </xf>
    <xf numFmtId="41" fontId="37" fillId="34" borderId="68" xfId="43" applyFont="1" applyFill="1" applyBorder="1" applyAlignment="1">
      <alignment horizontal="center" vertical="center"/>
    </xf>
    <xf numFmtId="41" fontId="37" fillId="34" borderId="45" xfId="43" applyFont="1" applyFill="1" applyBorder="1" applyAlignment="1">
      <alignment horizontal="center" vertical="center"/>
    </xf>
    <xf numFmtId="41" fontId="37" fillId="34" borderId="47" xfId="43" applyFont="1" applyFill="1" applyBorder="1" applyAlignment="1">
      <alignment horizontal="center" vertical="center"/>
    </xf>
    <xf numFmtId="41" fontId="37" fillId="34" borderId="42" xfId="43" applyFont="1" applyFill="1" applyBorder="1" applyAlignment="1">
      <alignment horizontal="center" vertical="center"/>
    </xf>
    <xf numFmtId="41" fontId="11" fillId="0" borderId="0" xfId="43" applyFont="1" applyFill="1" applyBorder="1" applyAlignment="1" applyProtection="1">
      <alignment horizontal="center" vertical="center"/>
      <protection/>
    </xf>
    <xf numFmtId="41" fontId="10" fillId="0" borderId="13" xfId="43" applyFont="1" applyFill="1" applyBorder="1" applyAlignment="1">
      <alignment horizontal="center" vertical="center"/>
    </xf>
    <xf numFmtId="41" fontId="10" fillId="0" borderId="104" xfId="43" applyFont="1" applyFill="1" applyBorder="1" applyAlignment="1">
      <alignment horizontal="center" vertical="center"/>
    </xf>
    <xf numFmtId="41" fontId="10" fillId="0" borderId="95" xfId="43" applyFont="1" applyFill="1" applyBorder="1" applyAlignment="1">
      <alignment horizontal="center" vertical="center"/>
    </xf>
    <xf numFmtId="41" fontId="10" fillId="0" borderId="82" xfId="43" applyFont="1" applyFill="1" applyBorder="1" applyAlignment="1">
      <alignment horizontal="center" vertical="center"/>
    </xf>
    <xf numFmtId="41" fontId="10" fillId="0" borderId="96" xfId="43" applyFont="1" applyFill="1" applyBorder="1" applyAlignment="1">
      <alignment horizontal="center" vertical="center"/>
    </xf>
    <xf numFmtId="41" fontId="10" fillId="0" borderId="98" xfId="43" applyFont="1" applyFill="1" applyBorder="1" applyAlignment="1">
      <alignment horizontal="center" vertical="center"/>
    </xf>
    <xf numFmtId="41" fontId="10" fillId="0" borderId="12" xfId="43" applyFont="1" applyFill="1" applyBorder="1" applyAlignment="1">
      <alignment horizontal="center" vertical="center"/>
    </xf>
    <xf numFmtId="41" fontId="10" fillId="0" borderId="106" xfId="43" applyFont="1" applyFill="1" applyBorder="1" applyAlignment="1">
      <alignment horizontal="center" vertical="center"/>
    </xf>
    <xf numFmtId="170" fontId="11" fillId="0" borderId="95" xfId="43" applyNumberFormat="1" applyFont="1" applyFill="1" applyBorder="1" applyAlignment="1">
      <alignment horizontal="center" vertical="center"/>
    </xf>
    <xf numFmtId="170" fontId="11" fillId="0" borderId="96" xfId="43" applyNumberFormat="1" applyFont="1" applyFill="1" applyBorder="1" applyAlignment="1">
      <alignment horizontal="center" vertical="center"/>
    </xf>
    <xf numFmtId="170" fontId="11" fillId="0" borderId="98" xfId="43" applyNumberFormat="1" applyFont="1" applyFill="1" applyBorder="1" applyAlignment="1">
      <alignment horizontal="center" vertical="center"/>
    </xf>
    <xf numFmtId="170" fontId="11" fillId="0" borderId="106" xfId="43" applyNumberFormat="1" applyFont="1" applyFill="1" applyBorder="1" applyAlignment="1">
      <alignment horizontal="center" vertical="center"/>
    </xf>
    <xf numFmtId="41" fontId="41" fillId="0" borderId="0" xfId="4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M42"/>
  <sheetViews>
    <sheetView zoomScalePageLayoutView="0" workbookViewId="0" topLeftCell="A1">
      <selection activeCell="C7" sqref="C7"/>
    </sheetView>
  </sheetViews>
  <sheetFormatPr defaultColWidth="8.88671875" defaultRowHeight="15.75"/>
  <cols>
    <col min="1" max="1" width="8.88671875" style="533" customWidth="1"/>
    <col min="2" max="2" width="5.3359375" style="533" customWidth="1"/>
    <col min="3" max="3" width="17.6640625" style="533" customWidth="1"/>
    <col min="4" max="4" width="7.5546875" style="533" customWidth="1"/>
    <col min="5" max="5" width="24.6640625" style="533" customWidth="1"/>
    <col min="6" max="6" width="19.5546875" style="533" customWidth="1"/>
    <col min="7" max="16384" width="8.88671875" style="533" customWidth="1"/>
  </cols>
  <sheetData>
    <row r="5" ht="26.25" customHeight="1"/>
    <row r="7" ht="22.5" customHeight="1"/>
    <row r="9" spans="2:6" ht="36.75" customHeight="1">
      <c r="B9" s="536" t="s">
        <v>860</v>
      </c>
      <c r="C9" s="1051" t="s">
        <v>861</v>
      </c>
      <c r="D9" s="1052"/>
      <c r="E9" s="1053"/>
      <c r="F9" s="536" t="s">
        <v>231</v>
      </c>
    </row>
    <row r="10" spans="2:6" ht="12.75">
      <c r="B10" s="537"/>
      <c r="C10" s="538"/>
      <c r="D10" s="539"/>
      <c r="E10" s="540"/>
      <c r="F10" s="537"/>
    </row>
    <row r="11" spans="2:9" ht="18.75" customHeight="1">
      <c r="B11" s="541">
        <v>1</v>
      </c>
      <c r="C11" s="542" t="s">
        <v>827</v>
      </c>
      <c r="D11" s="543" t="s">
        <v>828</v>
      </c>
      <c r="E11" s="544" t="s">
        <v>833</v>
      </c>
      <c r="F11" s="545"/>
      <c r="I11" s="533" t="s">
        <v>881</v>
      </c>
    </row>
    <row r="12" spans="2:6" ht="18.75" customHeight="1">
      <c r="B12" s="546">
        <f>B11+1</f>
        <v>2</v>
      </c>
      <c r="C12" s="547" t="s">
        <v>827</v>
      </c>
      <c r="D12" s="548" t="s">
        <v>828</v>
      </c>
      <c r="E12" s="549" t="s">
        <v>834</v>
      </c>
      <c r="F12" s="550"/>
    </row>
    <row r="13" spans="2:10" ht="18.75" customHeight="1">
      <c r="B13" s="546">
        <f>B12+1</f>
        <v>3</v>
      </c>
      <c r="C13" s="547" t="s">
        <v>829</v>
      </c>
      <c r="D13" s="548" t="s">
        <v>830</v>
      </c>
      <c r="E13" s="549" t="s">
        <v>835</v>
      </c>
      <c r="F13" s="550"/>
      <c r="I13" s="533">
        <v>0.33</v>
      </c>
      <c r="J13" s="533">
        <v>0.6</v>
      </c>
    </row>
    <row r="14" spans="2:10" ht="18.75" customHeight="1">
      <c r="B14" s="546">
        <f>B13+1</f>
        <v>4</v>
      </c>
      <c r="C14" s="547" t="s">
        <v>829</v>
      </c>
      <c r="D14" s="548" t="s">
        <v>831</v>
      </c>
      <c r="E14" s="549" t="s">
        <v>836</v>
      </c>
      <c r="F14" s="550"/>
      <c r="I14" s="533">
        <v>0.37</v>
      </c>
      <c r="J14" s="533">
        <v>0.72</v>
      </c>
    </row>
    <row r="15" spans="2:10" ht="18.75" customHeight="1">
      <c r="B15" s="546">
        <f>B14+1</f>
        <v>5</v>
      </c>
      <c r="C15" s="547" t="s">
        <v>829</v>
      </c>
      <c r="D15" s="548" t="s">
        <v>831</v>
      </c>
      <c r="E15" s="549" t="s">
        <v>837</v>
      </c>
      <c r="F15" s="550"/>
      <c r="I15" s="533">
        <v>0.5</v>
      </c>
      <c r="J15" s="533">
        <v>0.92</v>
      </c>
    </row>
    <row r="16" spans="2:10" ht="18.75" customHeight="1">
      <c r="B16" s="546">
        <f>B15+1</f>
        <v>6</v>
      </c>
      <c r="C16" s="547" t="s">
        <v>829</v>
      </c>
      <c r="D16" s="548" t="s">
        <v>832</v>
      </c>
      <c r="E16" s="549" t="s">
        <v>838</v>
      </c>
      <c r="F16" s="550"/>
      <c r="I16" s="533">
        <v>0.64</v>
      </c>
      <c r="J16" s="533">
        <v>1.08</v>
      </c>
    </row>
    <row r="17" spans="2:10" ht="18.75" customHeight="1">
      <c r="B17" s="546"/>
      <c r="C17" s="547"/>
      <c r="D17" s="548"/>
      <c r="E17" s="549"/>
      <c r="F17" s="550"/>
      <c r="I17" s="533">
        <v>0.81</v>
      </c>
      <c r="J17" s="533">
        <v>1.23</v>
      </c>
    </row>
    <row r="18" spans="2:10" ht="18.75" customHeight="1">
      <c r="B18" s="546">
        <v>7</v>
      </c>
      <c r="C18" s="547" t="s">
        <v>840</v>
      </c>
      <c r="D18" s="548" t="s">
        <v>839</v>
      </c>
      <c r="E18" s="549" t="s">
        <v>849</v>
      </c>
      <c r="F18" s="550"/>
      <c r="I18" s="533">
        <v>0.98</v>
      </c>
      <c r="J18" s="533">
        <v>2.9</v>
      </c>
    </row>
    <row r="19" spans="2:10" ht="18.75" customHeight="1">
      <c r="B19" s="546">
        <f aca="true" t="shared" si="0" ref="B19:B27">B18+1</f>
        <v>8</v>
      </c>
      <c r="C19" s="547" t="s">
        <v>841</v>
      </c>
      <c r="D19" s="548" t="s">
        <v>839</v>
      </c>
      <c r="E19" s="549" t="s">
        <v>850</v>
      </c>
      <c r="F19" s="550"/>
      <c r="I19" s="533">
        <v>1.18</v>
      </c>
      <c r="J19" s="533">
        <v>3.8</v>
      </c>
    </row>
    <row r="20" spans="2:9" ht="18.75" customHeight="1">
      <c r="B20" s="546">
        <f t="shared" si="0"/>
        <v>9</v>
      </c>
      <c r="C20" s="547" t="s">
        <v>842</v>
      </c>
      <c r="D20" s="548" t="s">
        <v>839</v>
      </c>
      <c r="E20" s="549" t="s">
        <v>851</v>
      </c>
      <c r="F20" s="550"/>
      <c r="I20" s="533">
        <v>1.18</v>
      </c>
    </row>
    <row r="21" spans="2:6" ht="18.75" customHeight="1">
      <c r="B21" s="546">
        <f t="shared" si="0"/>
        <v>10</v>
      </c>
      <c r="C21" s="547" t="s">
        <v>843</v>
      </c>
      <c r="D21" s="548" t="s">
        <v>839</v>
      </c>
      <c r="E21" s="549" t="s">
        <v>852</v>
      </c>
      <c r="F21" s="550"/>
    </row>
    <row r="22" spans="2:11" ht="18.75" customHeight="1">
      <c r="B22" s="546">
        <f t="shared" si="0"/>
        <v>11</v>
      </c>
      <c r="C22" s="547" t="s">
        <v>844</v>
      </c>
      <c r="D22" s="548" t="s">
        <v>839</v>
      </c>
      <c r="E22" s="549" t="s">
        <v>853</v>
      </c>
      <c r="F22" s="550"/>
      <c r="I22" s="533">
        <f>SUM(I13:I21)</f>
        <v>5.989999999999999</v>
      </c>
      <c r="J22" s="533">
        <f>SUM(J13:J21)</f>
        <v>11.25</v>
      </c>
      <c r="K22" s="533">
        <f>J22+I22</f>
        <v>17.24</v>
      </c>
    </row>
    <row r="23" spans="2:11" ht="18.75" customHeight="1">
      <c r="B23" s="546">
        <f t="shared" si="0"/>
        <v>12</v>
      </c>
      <c r="C23" s="547" t="s">
        <v>845</v>
      </c>
      <c r="D23" s="548" t="s">
        <v>839</v>
      </c>
      <c r="E23" s="549" t="s">
        <v>854</v>
      </c>
      <c r="F23" s="550"/>
      <c r="K23" s="533">
        <v>3</v>
      </c>
    </row>
    <row r="24" spans="2:11" ht="18.75" customHeight="1">
      <c r="B24" s="546">
        <f t="shared" si="0"/>
        <v>13</v>
      </c>
      <c r="C24" s="547" t="s">
        <v>846</v>
      </c>
      <c r="D24" s="548" t="s">
        <v>839</v>
      </c>
      <c r="E24" s="549" t="s">
        <v>855</v>
      </c>
      <c r="F24" s="550"/>
      <c r="K24" s="533">
        <f>K22*K23</f>
        <v>51.72</v>
      </c>
    </row>
    <row r="25" spans="2:11" ht="18.75" customHeight="1">
      <c r="B25" s="546">
        <f t="shared" si="0"/>
        <v>14</v>
      </c>
      <c r="C25" s="547" t="s">
        <v>847</v>
      </c>
      <c r="D25" s="548" t="s">
        <v>839</v>
      </c>
      <c r="E25" s="549" t="s">
        <v>856</v>
      </c>
      <c r="F25" s="550"/>
      <c r="K25" s="533">
        <v>41</v>
      </c>
    </row>
    <row r="26" spans="2:11" ht="18.75" customHeight="1">
      <c r="B26" s="546">
        <f t="shared" si="0"/>
        <v>15</v>
      </c>
      <c r="C26" s="547" t="s">
        <v>848</v>
      </c>
      <c r="D26" s="548" t="s">
        <v>839</v>
      </c>
      <c r="E26" s="549" t="s">
        <v>857</v>
      </c>
      <c r="F26" s="550"/>
      <c r="K26" s="533">
        <f>K24*K25</f>
        <v>2120.52</v>
      </c>
    </row>
    <row r="27" spans="2:6" ht="18.75" customHeight="1">
      <c r="B27" s="546">
        <f t="shared" si="0"/>
        <v>16</v>
      </c>
      <c r="C27" s="547" t="s">
        <v>858</v>
      </c>
      <c r="D27" s="548" t="s">
        <v>862</v>
      </c>
      <c r="E27" s="549" t="s">
        <v>859</v>
      </c>
      <c r="F27" s="550"/>
    </row>
    <row r="28" spans="2:13" ht="18.75" customHeight="1">
      <c r="B28" s="550"/>
      <c r="C28" s="551"/>
      <c r="D28" s="548"/>
      <c r="E28" s="549"/>
      <c r="F28" s="550"/>
      <c r="I28" s="556">
        <v>3</v>
      </c>
      <c r="J28" s="556">
        <v>3</v>
      </c>
      <c r="K28" s="556"/>
      <c r="L28" s="556"/>
      <c r="M28" s="556"/>
    </row>
    <row r="29" spans="2:13" ht="18.75" customHeight="1">
      <c r="B29" s="552"/>
      <c r="C29" s="553"/>
      <c r="D29" s="554"/>
      <c r="E29" s="555"/>
      <c r="F29" s="552"/>
      <c r="I29" s="556">
        <v>41</v>
      </c>
      <c r="J29" s="556">
        <v>17.1</v>
      </c>
      <c r="K29" s="556"/>
      <c r="L29" s="556"/>
      <c r="M29" s="556"/>
    </row>
    <row r="30" spans="9:13" ht="12.75">
      <c r="I30" s="556">
        <v>2</v>
      </c>
      <c r="J30" s="556">
        <v>2</v>
      </c>
      <c r="K30" s="556"/>
      <c r="L30" s="556"/>
      <c r="M30" s="556"/>
    </row>
    <row r="31" spans="5:13" ht="12.75">
      <c r="E31" s="1054"/>
      <c r="F31" s="1054"/>
      <c r="I31" s="556"/>
      <c r="J31" s="556"/>
      <c r="K31" s="556"/>
      <c r="L31" s="556"/>
      <c r="M31" s="556"/>
    </row>
    <row r="32" spans="9:13" ht="12.75">
      <c r="I32" s="556">
        <f>I30*I29*I28</f>
        <v>246</v>
      </c>
      <c r="J32" s="556">
        <f>J30*J29*J28</f>
        <v>102.60000000000001</v>
      </c>
      <c r="K32" s="556">
        <f>J32+I32</f>
        <v>348.6</v>
      </c>
      <c r="L32" s="556">
        <v>19.5</v>
      </c>
      <c r="M32" s="556"/>
    </row>
    <row r="33" spans="9:13" ht="12.75">
      <c r="I33" s="556"/>
      <c r="J33" s="556"/>
      <c r="K33" s="556"/>
      <c r="L33" s="556">
        <v>6</v>
      </c>
      <c r="M33" s="556"/>
    </row>
    <row r="34" spans="9:13" ht="12.75">
      <c r="I34" s="556"/>
      <c r="J34" s="556"/>
      <c r="K34" s="556"/>
      <c r="L34" s="556">
        <f>L32/L33</f>
        <v>3.25</v>
      </c>
      <c r="M34" s="556"/>
    </row>
    <row r="35" ht="12.75">
      <c r="L35" s="533">
        <f>L34*K32</f>
        <v>1132.95</v>
      </c>
    </row>
    <row r="36" spans="5:9" ht="12.75">
      <c r="E36" s="1054"/>
      <c r="F36" s="1054"/>
      <c r="I36" s="533">
        <v>3</v>
      </c>
    </row>
    <row r="37" ht="12.75">
      <c r="I37" s="533">
        <v>4</v>
      </c>
    </row>
    <row r="38" ht="12.75">
      <c r="I38" s="533">
        <v>40</v>
      </c>
    </row>
    <row r="39" spans="9:10" ht="12.75">
      <c r="I39" s="533">
        <f>I36*I37*I38</f>
        <v>480</v>
      </c>
      <c r="J39" s="556">
        <f>I39*3</f>
        <v>1440</v>
      </c>
    </row>
    <row r="41" ht="12.75">
      <c r="J41" s="556">
        <f>J39+L35</f>
        <v>2572.95</v>
      </c>
    </row>
    <row r="42" ht="12.75">
      <c r="J42" s="556">
        <f>J41+K26</f>
        <v>4693.469999999999</v>
      </c>
    </row>
  </sheetData>
  <sheetProtection/>
  <mergeCells count="3">
    <mergeCell ref="C9:E9"/>
    <mergeCell ref="E31:F31"/>
    <mergeCell ref="E36:F3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1284"/>
  <sheetViews>
    <sheetView zoomScale="60" zoomScaleNormal="60" zoomScalePageLayoutView="0" workbookViewId="0" topLeftCell="A61">
      <selection activeCell="F143" sqref="F143"/>
    </sheetView>
  </sheetViews>
  <sheetFormatPr defaultColWidth="8.88671875" defaultRowHeight="15.75"/>
  <cols>
    <col min="2" max="2" width="11.21484375" style="0" bestFit="1" customWidth="1"/>
    <col min="3" max="3" width="12.77734375" style="0" customWidth="1"/>
    <col min="7" max="7" width="9.99609375" style="0" customWidth="1"/>
    <col min="9" max="9" width="9.88671875" style="0" customWidth="1"/>
    <col min="10" max="10" width="10.10546875" style="0" customWidth="1"/>
    <col min="11" max="11" width="10.88671875" style="0" customWidth="1"/>
    <col min="18" max="18" width="11.21484375" style="0" bestFit="1" customWidth="1"/>
    <col min="20" max="20" width="9.4453125" style="0" customWidth="1"/>
    <col min="22" max="34" width="3.5546875" style="0" customWidth="1"/>
  </cols>
  <sheetData>
    <row r="2" spans="3:20" ht="15.75">
      <c r="C2" s="398">
        <f>REKAP!N62</f>
        <v>0</v>
      </c>
      <c r="P2" s="1070" t="s">
        <v>310</v>
      </c>
      <c r="Q2" s="1071"/>
      <c r="R2" s="1070" t="s">
        <v>310</v>
      </c>
      <c r="S2" s="1072"/>
      <c r="T2" s="1071"/>
    </row>
    <row r="3" spans="16:20" ht="15.75">
      <c r="P3" s="56" t="s">
        <v>311</v>
      </c>
      <c r="Q3" s="56" t="s">
        <v>312</v>
      </c>
      <c r="R3" s="56" t="s">
        <v>311</v>
      </c>
      <c r="S3" s="56"/>
      <c r="T3" s="56" t="s">
        <v>312</v>
      </c>
    </row>
    <row r="4" spans="3:20" ht="15.75">
      <c r="C4" t="s">
        <v>485</v>
      </c>
      <c r="E4">
        <v>792</v>
      </c>
      <c r="F4">
        <f>E4/12</f>
        <v>66</v>
      </c>
      <c r="P4" s="57">
        <v>5</v>
      </c>
      <c r="Q4" s="57">
        <f aca="true" t="shared" si="0" ref="Q4:Q9">100/P4</f>
        <v>20</v>
      </c>
      <c r="R4" s="58" t="s">
        <v>313</v>
      </c>
      <c r="S4" s="58"/>
      <c r="T4" s="57">
        <f>(Q4+Q6)/2</f>
        <v>15</v>
      </c>
    </row>
    <row r="5" spans="3:20" ht="15.75">
      <c r="C5" t="s">
        <v>486</v>
      </c>
      <c r="E5">
        <v>595.2</v>
      </c>
      <c r="F5">
        <f>E5/12</f>
        <v>49.6</v>
      </c>
      <c r="P5" s="57">
        <v>7.5</v>
      </c>
      <c r="Q5" s="57">
        <f t="shared" si="0"/>
        <v>13.333333333333334</v>
      </c>
      <c r="R5" s="58" t="s">
        <v>314</v>
      </c>
      <c r="S5" s="58"/>
      <c r="T5" s="57">
        <f>(Q5+Q6)/2</f>
        <v>11.666666666666668</v>
      </c>
    </row>
    <row r="6" spans="3:20" ht="15.75">
      <c r="C6" t="s">
        <v>487</v>
      </c>
      <c r="E6">
        <v>168</v>
      </c>
      <c r="F6">
        <f>E6/12</f>
        <v>14</v>
      </c>
      <c r="P6" s="57">
        <v>10</v>
      </c>
      <c r="Q6" s="57">
        <f t="shared" si="0"/>
        <v>10</v>
      </c>
      <c r="R6" s="58" t="s">
        <v>315</v>
      </c>
      <c r="S6" s="58"/>
      <c r="T6" s="57">
        <f>(Q6+Q8)/2</f>
        <v>8.333333333333334</v>
      </c>
    </row>
    <row r="7" spans="3:20" ht="15.75">
      <c r="C7" t="s">
        <v>488</v>
      </c>
      <c r="F7">
        <v>5.5</v>
      </c>
      <c r="G7">
        <v>11</v>
      </c>
      <c r="P7" s="57">
        <v>12.5</v>
      </c>
      <c r="Q7" s="57">
        <f t="shared" si="0"/>
        <v>8</v>
      </c>
      <c r="R7" s="58" t="s">
        <v>316</v>
      </c>
      <c r="S7" s="58"/>
      <c r="T7" s="57">
        <f>(Q7+Q9)/2</f>
        <v>6.5</v>
      </c>
    </row>
    <row r="8" spans="16:20" ht="15.75">
      <c r="P8" s="57">
        <v>15</v>
      </c>
      <c r="Q8" s="57">
        <f t="shared" si="0"/>
        <v>6.666666666666667</v>
      </c>
      <c r="R8" s="58" t="s">
        <v>317</v>
      </c>
      <c r="S8" s="58"/>
      <c r="T8" s="57">
        <f>(Q6+Q9)/2</f>
        <v>7.5</v>
      </c>
    </row>
    <row r="9" spans="16:20" ht="15.75">
      <c r="P9" s="59">
        <v>20</v>
      </c>
      <c r="Q9" s="57">
        <f t="shared" si="0"/>
        <v>5</v>
      </c>
      <c r="R9" s="58" t="s">
        <v>318</v>
      </c>
      <c r="S9" s="58"/>
      <c r="T9" s="57">
        <f>(Q8+Q9)/2</f>
        <v>5.833333333333334</v>
      </c>
    </row>
    <row r="12" ht="16.5" thickBot="1"/>
    <row r="13" spans="3:26" ht="16.5" thickTop="1"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3"/>
      <c r="W13" s="63"/>
      <c r="X13" s="63"/>
      <c r="Y13" s="63"/>
      <c r="Z13" s="63"/>
    </row>
    <row r="14" spans="3:26" ht="15.75">
      <c r="C14" s="64"/>
      <c r="D14" s="1073" t="s">
        <v>319</v>
      </c>
      <c r="E14" s="1074"/>
      <c r="F14" s="1074"/>
      <c r="G14" s="1075" t="s">
        <v>272</v>
      </c>
      <c r="H14" s="1074"/>
      <c r="I14" s="1074"/>
      <c r="J14" s="1074"/>
      <c r="K14" s="65"/>
      <c r="L14" s="1076" t="s">
        <v>320</v>
      </c>
      <c r="M14" s="1077"/>
      <c r="N14" s="1077"/>
      <c r="O14" s="1077"/>
      <c r="P14" s="1073" t="s">
        <v>321</v>
      </c>
      <c r="Q14" s="1076"/>
      <c r="R14" s="1073" t="s">
        <v>322</v>
      </c>
      <c r="S14" s="1076"/>
      <c r="T14" s="1078" t="s">
        <v>322</v>
      </c>
      <c r="U14" s="1079"/>
      <c r="V14" s="66"/>
      <c r="W14" s="1080"/>
      <c r="X14" s="1080"/>
      <c r="Y14" s="1080"/>
      <c r="Z14" s="63"/>
    </row>
    <row r="15" spans="3:26" ht="15.75">
      <c r="C15" s="67" t="s">
        <v>323</v>
      </c>
      <c r="D15" s="68" t="s">
        <v>188</v>
      </c>
      <c r="E15" s="68" t="s">
        <v>324</v>
      </c>
      <c r="F15" s="52" t="s">
        <v>325</v>
      </c>
      <c r="G15" s="69" t="s">
        <v>326</v>
      </c>
      <c r="H15" s="68" t="s">
        <v>327</v>
      </c>
      <c r="I15" s="52" t="s">
        <v>328</v>
      </c>
      <c r="J15" s="1055" t="s">
        <v>328</v>
      </c>
      <c r="K15" s="1056"/>
      <c r="L15" s="53" t="s">
        <v>432</v>
      </c>
      <c r="M15" s="534" t="s">
        <v>824</v>
      </c>
      <c r="N15" s="68" t="s">
        <v>329</v>
      </c>
      <c r="O15" s="535" t="s">
        <v>825</v>
      </c>
      <c r="P15" s="535" t="s">
        <v>826</v>
      </c>
      <c r="Q15" s="535" t="s">
        <v>825</v>
      </c>
      <c r="R15" s="68" t="s">
        <v>328</v>
      </c>
      <c r="S15" s="52" t="s">
        <v>333</v>
      </c>
      <c r="T15" s="70" t="s">
        <v>334</v>
      </c>
      <c r="U15" s="71" t="s">
        <v>226</v>
      </c>
      <c r="V15" s="66"/>
      <c r="W15" s="66"/>
      <c r="X15" s="66"/>
      <c r="Y15" s="66"/>
      <c r="Z15" s="63"/>
    </row>
    <row r="16" spans="3:26" ht="16.5" thickBot="1">
      <c r="C16" s="72"/>
      <c r="D16" s="74" t="s">
        <v>335</v>
      </c>
      <c r="E16" s="74" t="s">
        <v>335</v>
      </c>
      <c r="F16" s="76" t="s">
        <v>335</v>
      </c>
      <c r="G16" s="77">
        <v>1</v>
      </c>
      <c r="H16" s="74" t="s">
        <v>326</v>
      </c>
      <c r="I16" s="76" t="s">
        <v>134</v>
      </c>
      <c r="J16" s="76" t="s">
        <v>336</v>
      </c>
      <c r="K16" s="78"/>
      <c r="L16" s="79">
        <v>3.854</v>
      </c>
      <c r="M16" s="79">
        <v>0.887</v>
      </c>
      <c r="N16" s="74">
        <v>1.578</v>
      </c>
      <c r="O16" s="74">
        <v>0.62</v>
      </c>
      <c r="P16" s="74">
        <v>0.393</v>
      </c>
      <c r="Q16" s="74">
        <v>0.62</v>
      </c>
      <c r="R16" s="74" t="s">
        <v>337</v>
      </c>
      <c r="S16" s="76" t="s">
        <v>337</v>
      </c>
      <c r="T16" s="80"/>
      <c r="U16" s="81" t="s">
        <v>227</v>
      </c>
      <c r="V16" s="63"/>
      <c r="W16" s="66"/>
      <c r="X16" s="66"/>
      <c r="Y16" s="66"/>
      <c r="Z16" s="63"/>
    </row>
    <row r="17" spans="3:26" ht="16.5" thickTop="1">
      <c r="C17" s="413"/>
      <c r="D17" s="82"/>
      <c r="E17" s="82"/>
      <c r="F17" s="83"/>
      <c r="G17" s="84"/>
      <c r="H17" s="82"/>
      <c r="I17" s="83"/>
      <c r="J17" s="83"/>
      <c r="K17" s="85"/>
      <c r="L17" s="86"/>
      <c r="M17" s="82"/>
      <c r="N17" s="82"/>
      <c r="O17" s="82"/>
      <c r="P17" s="82"/>
      <c r="Q17" s="82"/>
      <c r="R17" s="82"/>
      <c r="S17" s="83"/>
      <c r="T17" s="83"/>
      <c r="U17" s="87"/>
      <c r="V17" s="63"/>
      <c r="W17" s="63"/>
      <c r="X17" s="63"/>
      <c r="Y17" s="63"/>
      <c r="Z17" s="63"/>
    </row>
    <row r="18" spans="2:26" ht="15.75">
      <c r="B18" s="435"/>
      <c r="C18" s="440" t="s">
        <v>479</v>
      </c>
      <c r="D18" s="89"/>
      <c r="E18" s="89"/>
      <c r="F18" s="90"/>
      <c r="G18" s="100"/>
      <c r="H18" s="89"/>
      <c r="I18" s="90"/>
      <c r="J18" s="90"/>
      <c r="K18" s="85"/>
      <c r="L18" s="92"/>
      <c r="M18" s="89"/>
      <c r="N18" s="89"/>
      <c r="O18" s="89"/>
      <c r="P18" s="89"/>
      <c r="Q18" s="89"/>
      <c r="R18" s="89"/>
      <c r="S18" s="90"/>
      <c r="T18" s="90"/>
      <c r="U18" s="85"/>
      <c r="V18" s="63"/>
      <c r="W18" s="63"/>
      <c r="X18" s="63"/>
      <c r="Y18" s="63"/>
      <c r="Z18" s="63"/>
    </row>
    <row r="19" spans="3:26" ht="15.75">
      <c r="C19" s="441" t="s">
        <v>511</v>
      </c>
      <c r="D19" s="97"/>
      <c r="E19" s="143"/>
      <c r="F19" s="98"/>
      <c r="G19" s="91">
        <f>D19*E19*F19</f>
        <v>0</v>
      </c>
      <c r="H19" s="68"/>
      <c r="I19" s="102">
        <f>H19*G19</f>
        <v>0</v>
      </c>
      <c r="J19" s="102">
        <f>1*I19</f>
        <v>0</v>
      </c>
      <c r="K19" s="106">
        <f>J19</f>
        <v>0</v>
      </c>
      <c r="L19" s="92"/>
      <c r="M19" s="89"/>
      <c r="N19" s="68">
        <v>12</v>
      </c>
      <c r="O19" s="89"/>
      <c r="P19" s="89">
        <v>5</v>
      </c>
      <c r="Q19" s="89"/>
      <c r="R19" s="97">
        <f>(L19*L$16)+(M19*M$16)+(N19*N$16)+(O19*O$16)+(P19*P$16*(D19+E19)*2)+(Q19*Q$16*(D19+E19)*2)</f>
        <v>18.936</v>
      </c>
      <c r="S19" s="90"/>
      <c r="T19" s="98" t="e">
        <f>R19/D19/E19</f>
        <v>#DIV/0!</v>
      </c>
      <c r="U19" s="164" t="e">
        <f>ROUND(T19/5+0.5,0)*5</f>
        <v>#DIV/0!</v>
      </c>
      <c r="V19" s="63"/>
      <c r="W19" s="63"/>
      <c r="X19" s="63"/>
      <c r="Y19" s="63"/>
      <c r="Z19" s="63"/>
    </row>
    <row r="20" spans="3:26" ht="15.75">
      <c r="C20" s="441" t="s">
        <v>512</v>
      </c>
      <c r="D20" s="97"/>
      <c r="E20" s="143"/>
      <c r="F20" s="98"/>
      <c r="G20" s="91">
        <f>D20*E20*F20</f>
        <v>0</v>
      </c>
      <c r="H20" s="68"/>
      <c r="I20" s="102">
        <f>H20*G20</f>
        <v>0</v>
      </c>
      <c r="J20" s="102">
        <f>1*I20</f>
        <v>0</v>
      </c>
      <c r="K20" s="106">
        <f>J20</f>
        <v>0</v>
      </c>
      <c r="L20" s="92"/>
      <c r="M20" s="89"/>
      <c r="N20" s="68">
        <v>8</v>
      </c>
      <c r="O20" s="89"/>
      <c r="P20" s="89">
        <v>5</v>
      </c>
      <c r="Q20" s="89"/>
      <c r="R20" s="97">
        <f>(L20*L$16)+(M20*M$16)+(N20*N$16)+(O20*O$16)+(P20*P$16*(D20+E20)*2)+(Q20*Q$16*(D20+E20)*2)</f>
        <v>12.624</v>
      </c>
      <c r="S20" s="90"/>
      <c r="T20" s="98" t="e">
        <f>R20/D20/E20</f>
        <v>#DIV/0!</v>
      </c>
      <c r="U20" s="164" t="e">
        <f>ROUND(T20/5+0.5,0)*5</f>
        <v>#DIV/0!</v>
      </c>
      <c r="V20" s="63"/>
      <c r="W20" s="63"/>
      <c r="X20" s="63"/>
      <c r="Y20" s="63"/>
      <c r="Z20" s="63"/>
    </row>
    <row r="21" spans="3:26" ht="15.75">
      <c r="C21" s="441"/>
      <c r="D21" s="97"/>
      <c r="E21" s="143"/>
      <c r="F21" s="98"/>
      <c r="G21" s="91"/>
      <c r="H21" s="68"/>
      <c r="I21" s="102"/>
      <c r="J21" s="102"/>
      <c r="K21" s="106"/>
      <c r="L21" s="92"/>
      <c r="M21" s="89"/>
      <c r="N21" s="89"/>
      <c r="O21" s="89"/>
      <c r="P21" s="89"/>
      <c r="Q21" s="89"/>
      <c r="R21" s="89"/>
      <c r="S21" s="90"/>
      <c r="T21" s="90"/>
      <c r="U21" s="85"/>
      <c r="V21" s="63"/>
      <c r="W21" s="63"/>
      <c r="X21" s="63"/>
      <c r="Y21" s="63"/>
      <c r="Z21" s="63"/>
    </row>
    <row r="22" spans="3:26" ht="15.75">
      <c r="C22" s="441"/>
      <c r="D22" s="97"/>
      <c r="E22" s="143"/>
      <c r="F22" s="90"/>
      <c r="G22" s="91"/>
      <c r="H22" s="68"/>
      <c r="I22" s="102"/>
      <c r="J22" s="102"/>
      <c r="K22" s="106"/>
      <c r="L22" s="92"/>
      <c r="M22" s="89"/>
      <c r="N22" s="89"/>
      <c r="O22" s="89"/>
      <c r="P22" s="89"/>
      <c r="Q22" s="89"/>
      <c r="R22" s="89"/>
      <c r="S22" s="90"/>
      <c r="T22" s="90"/>
      <c r="U22" s="85"/>
      <c r="V22" s="63"/>
      <c r="W22" s="63"/>
      <c r="X22" s="63"/>
      <c r="Y22" s="63"/>
      <c r="Z22" s="63"/>
    </row>
    <row r="23" spans="3:26" ht="15.75">
      <c r="C23" s="440"/>
      <c r="D23" s="89"/>
      <c r="E23" s="408"/>
      <c r="F23" s="90"/>
      <c r="G23" s="100"/>
      <c r="H23" s="89"/>
      <c r="I23" s="90"/>
      <c r="J23" s="90"/>
      <c r="K23" s="85"/>
      <c r="L23" s="92"/>
      <c r="M23" s="89"/>
      <c r="N23" s="89"/>
      <c r="O23" s="89"/>
      <c r="P23" s="89"/>
      <c r="Q23" s="89"/>
      <c r="R23" s="89"/>
      <c r="S23" s="90"/>
      <c r="T23" s="90"/>
      <c r="U23" s="85"/>
      <c r="V23" s="63"/>
      <c r="W23" s="63"/>
      <c r="X23" s="63"/>
      <c r="Y23" s="63"/>
      <c r="Z23" s="63"/>
    </row>
    <row r="24" spans="3:26" ht="15.75">
      <c r="C24" s="442" t="s">
        <v>339</v>
      </c>
      <c r="D24" s="97"/>
      <c r="E24" s="143"/>
      <c r="F24" s="98"/>
      <c r="G24" s="91"/>
      <c r="H24" s="97"/>
      <c r="I24" s="102"/>
      <c r="J24" s="102"/>
      <c r="K24" s="103"/>
      <c r="L24" s="104"/>
      <c r="M24" s="97"/>
      <c r="N24" s="97"/>
      <c r="O24" s="97"/>
      <c r="P24" s="97"/>
      <c r="Q24" s="97"/>
      <c r="R24" s="97"/>
      <c r="S24" s="98"/>
      <c r="T24" s="98"/>
      <c r="U24" s="85"/>
      <c r="V24" s="63"/>
      <c r="W24" s="63"/>
      <c r="X24" s="63"/>
      <c r="Y24" s="63"/>
      <c r="Z24" s="63"/>
    </row>
    <row r="25" spans="3:26" ht="15.75">
      <c r="C25" s="441" t="s">
        <v>511</v>
      </c>
      <c r="D25" s="97"/>
      <c r="E25" s="143"/>
      <c r="F25" s="98"/>
      <c r="G25" s="91">
        <f>D25*E25*F25</f>
        <v>0</v>
      </c>
      <c r="H25" s="68"/>
      <c r="I25" s="102">
        <f>H25*G25</f>
        <v>0</v>
      </c>
      <c r="J25" s="102">
        <f>I25</f>
        <v>0</v>
      </c>
      <c r="K25" s="106">
        <f>J25</f>
        <v>0</v>
      </c>
      <c r="L25" s="69"/>
      <c r="M25" s="68"/>
      <c r="N25" s="68">
        <v>12</v>
      </c>
      <c r="O25" s="68"/>
      <c r="P25" s="68">
        <v>5</v>
      </c>
      <c r="Q25" s="373"/>
      <c r="R25" s="97">
        <f>(L25*L$16)+(M25*M$16)+(N25*N$16)+(O25*O$16)+(P25*P$16*(D25+E25)*2)+(Q25*Q$16*(D25+E25)*2)</f>
        <v>18.936</v>
      </c>
      <c r="S25" s="98"/>
      <c r="T25" s="98" t="e">
        <f>R25/D25/E25</f>
        <v>#DIV/0!</v>
      </c>
      <c r="U25" s="164" t="e">
        <f>ROUND(T25/5+0.5,0)*5</f>
        <v>#DIV/0!</v>
      </c>
      <c r="V25" s="63"/>
      <c r="W25" s="63"/>
      <c r="X25" s="63"/>
      <c r="Y25" s="63"/>
      <c r="Z25" s="63"/>
    </row>
    <row r="26" spans="3:26" ht="15.75">
      <c r="C26" s="441" t="s">
        <v>512</v>
      </c>
      <c r="D26" s="97"/>
      <c r="E26" s="143"/>
      <c r="F26" s="98"/>
      <c r="G26" s="91">
        <f>D26*E26*F26</f>
        <v>0</v>
      </c>
      <c r="H26" s="68"/>
      <c r="I26" s="102">
        <f>H26*G26</f>
        <v>0</v>
      </c>
      <c r="J26" s="102">
        <f>I26</f>
        <v>0</v>
      </c>
      <c r="K26" s="106">
        <f>J26</f>
        <v>0</v>
      </c>
      <c r="L26" s="69"/>
      <c r="M26" s="68"/>
      <c r="N26" s="68">
        <v>8</v>
      </c>
      <c r="O26" s="68"/>
      <c r="P26" s="68">
        <v>5</v>
      </c>
      <c r="Q26" s="165"/>
      <c r="R26" s="97">
        <f>(L26*L$16)+(M26*M$16)+(N26*N$16)+(O26*O$16)+(P26*P$16*(D26+E26)*2)+(Q26*Q$16*(D26+E26)*2)</f>
        <v>12.624</v>
      </c>
      <c r="S26" s="98"/>
      <c r="T26" s="372" t="e">
        <f>R26/D26/E26</f>
        <v>#DIV/0!</v>
      </c>
      <c r="U26" s="164" t="e">
        <f>ROUND(T26/5+0.5,0)*5</f>
        <v>#DIV/0!</v>
      </c>
      <c r="V26" s="63"/>
      <c r="W26" s="63"/>
      <c r="X26" s="63"/>
      <c r="Y26" s="63"/>
      <c r="Z26" s="63"/>
    </row>
    <row r="27" spans="3:26" ht="15.75">
      <c r="C27" s="353" t="s">
        <v>338</v>
      </c>
      <c r="D27" s="97">
        <v>0.12</v>
      </c>
      <c r="E27" s="143">
        <v>0.12</v>
      </c>
      <c r="F27" s="98"/>
      <c r="G27" s="91">
        <f>D27*E27*F27</f>
        <v>0</v>
      </c>
      <c r="H27" s="68"/>
      <c r="I27" s="102">
        <f>H27*G27</f>
        <v>0</v>
      </c>
      <c r="J27" s="102">
        <f>SUM(I27:I28)</f>
        <v>0</v>
      </c>
      <c r="K27" s="106">
        <f>J27</f>
        <v>0</v>
      </c>
      <c r="L27" s="69"/>
      <c r="M27" s="68"/>
      <c r="N27" s="68"/>
      <c r="O27" s="68">
        <v>4</v>
      </c>
      <c r="P27" s="68">
        <v>5</v>
      </c>
      <c r="Q27" s="97"/>
      <c r="R27" s="97">
        <f>(L27*L$16)+(M27*M$16)+(N27*N$16)+(O27*O$16)+(P27*P$16*(D27+E27)*2)+(Q27*Q$16*(D27+E27)*2)</f>
        <v>3.4232</v>
      </c>
      <c r="S27" s="98"/>
      <c r="T27" s="98">
        <f>R27/D27/E27</f>
        <v>237.72222222222223</v>
      </c>
      <c r="U27" s="164">
        <f>ROUND(T27/5+0.5,0)*5</f>
        <v>240</v>
      </c>
      <c r="V27" s="63"/>
      <c r="W27" s="63"/>
      <c r="X27" s="63"/>
      <c r="Y27" s="63"/>
      <c r="Z27" s="63"/>
    </row>
    <row r="28" spans="3:26" ht="15.75">
      <c r="C28" s="414"/>
      <c r="D28" s="97">
        <v>0.12</v>
      </c>
      <c r="E28" s="97">
        <v>0.12</v>
      </c>
      <c r="F28" s="98"/>
      <c r="G28" s="91">
        <f>D28*E28*F28</f>
        <v>0</v>
      </c>
      <c r="H28" s="68"/>
      <c r="I28" s="102">
        <f>H28*G28</f>
        <v>0</v>
      </c>
      <c r="J28" s="102"/>
      <c r="K28" s="106"/>
      <c r="L28" s="69"/>
      <c r="M28" s="68"/>
      <c r="N28" s="68"/>
      <c r="O28" s="68"/>
      <c r="P28" s="68"/>
      <c r="Q28" s="97"/>
      <c r="R28" s="97"/>
      <c r="S28" s="98"/>
      <c r="T28" s="98"/>
      <c r="U28" s="164"/>
      <c r="V28" s="63"/>
      <c r="W28" s="63"/>
      <c r="X28" s="63"/>
      <c r="Y28" s="63"/>
      <c r="Z28" s="63"/>
    </row>
    <row r="29" spans="3:26" ht="15.75">
      <c r="C29" s="414"/>
      <c r="D29" s="97"/>
      <c r="E29" s="97"/>
      <c r="F29" s="98"/>
      <c r="G29" s="91"/>
      <c r="H29" s="97"/>
      <c r="I29" s="102"/>
      <c r="J29" s="102"/>
      <c r="K29" s="106"/>
      <c r="L29" s="69"/>
      <c r="M29" s="68"/>
      <c r="N29" s="68"/>
      <c r="O29" s="68"/>
      <c r="P29" s="68"/>
      <c r="Q29" s="97"/>
      <c r="R29" s="97"/>
      <c r="S29" s="98"/>
      <c r="T29" s="98"/>
      <c r="U29" s="164"/>
      <c r="V29" s="63"/>
      <c r="W29" s="63"/>
      <c r="X29" s="63"/>
      <c r="Y29" s="63"/>
      <c r="Z29" s="63"/>
    </row>
    <row r="30" spans="3:26" ht="15.75">
      <c r="C30" s="108"/>
      <c r="D30" s="97"/>
      <c r="E30" s="97"/>
      <c r="F30" s="98"/>
      <c r="G30" s="91"/>
      <c r="H30" s="97"/>
      <c r="I30" s="102"/>
      <c r="J30" s="102"/>
      <c r="K30" s="106"/>
      <c r="L30" s="69"/>
      <c r="M30" s="68"/>
      <c r="N30" s="68"/>
      <c r="O30" s="68"/>
      <c r="P30" s="68"/>
      <c r="Q30" s="97"/>
      <c r="R30" s="97"/>
      <c r="S30" s="98"/>
      <c r="T30" s="98"/>
      <c r="U30" s="164"/>
      <c r="V30" s="63"/>
      <c r="W30" s="63"/>
      <c r="X30" s="63"/>
      <c r="Y30" s="63"/>
      <c r="Z30" s="63"/>
    </row>
    <row r="31" spans="3:26" ht="15.75">
      <c r="C31" s="69"/>
      <c r="D31" s="97"/>
      <c r="E31" s="97"/>
      <c r="F31" s="98"/>
      <c r="G31" s="91"/>
      <c r="H31" s="68"/>
      <c r="I31" s="102"/>
      <c r="J31" s="102"/>
      <c r="K31" s="103"/>
      <c r="L31" s="69"/>
      <c r="M31" s="68"/>
      <c r="N31" s="68"/>
      <c r="O31" s="68"/>
      <c r="P31" s="68"/>
      <c r="Q31" s="97"/>
      <c r="R31" s="97"/>
      <c r="S31" s="98"/>
      <c r="T31" s="98"/>
      <c r="U31" s="164"/>
      <c r="V31" s="66"/>
      <c r="W31" s="110"/>
      <c r="X31" s="110"/>
      <c r="Y31" s="110"/>
      <c r="Z31" s="63"/>
    </row>
    <row r="32" spans="3:26" ht="15.75">
      <c r="C32" s="101"/>
      <c r="D32" s="97"/>
      <c r="E32" s="97"/>
      <c r="F32" s="98"/>
      <c r="G32" s="91"/>
      <c r="H32" s="68"/>
      <c r="I32" s="102"/>
      <c r="J32" s="102"/>
      <c r="K32" s="103"/>
      <c r="L32" s="69"/>
      <c r="M32" s="68"/>
      <c r="N32" s="68"/>
      <c r="O32" s="68"/>
      <c r="P32" s="68"/>
      <c r="Q32" s="97"/>
      <c r="R32" s="97"/>
      <c r="S32" s="98"/>
      <c r="T32" s="98"/>
      <c r="U32" s="164"/>
      <c r="V32" s="111"/>
      <c r="W32" s="110"/>
      <c r="X32" s="110"/>
      <c r="Y32" s="110"/>
      <c r="Z32" s="63"/>
    </row>
    <row r="33" spans="3:26" ht="16.5" thickBot="1">
      <c r="C33" s="77"/>
      <c r="D33" s="112"/>
      <c r="E33" s="112"/>
      <c r="F33" s="80"/>
      <c r="G33" s="113"/>
      <c r="H33" s="112"/>
      <c r="I33" s="114"/>
      <c r="J33" s="115"/>
      <c r="K33" s="116"/>
      <c r="L33" s="72"/>
      <c r="M33" s="112"/>
      <c r="N33" s="112"/>
      <c r="O33" s="112"/>
      <c r="P33" s="112"/>
      <c r="Q33" s="112"/>
      <c r="R33" s="112"/>
      <c r="S33" s="80"/>
      <c r="T33" s="80"/>
      <c r="U33" s="117"/>
      <c r="V33" s="66"/>
      <c r="W33" s="63"/>
      <c r="X33" s="63"/>
      <c r="Y33" s="63"/>
      <c r="Z33" s="63"/>
    </row>
    <row r="34" spans="3:26" ht="16.5" thickTop="1">
      <c r="C34" s="66"/>
      <c r="D34" s="63"/>
      <c r="E34" s="63"/>
      <c r="F34" s="63"/>
      <c r="G34" s="118"/>
      <c r="H34" s="61"/>
      <c r="I34" s="119"/>
      <c r="J34" s="120"/>
      <c r="K34" s="121"/>
      <c r="L34" s="63"/>
      <c r="M34" s="63"/>
      <c r="N34" s="63"/>
      <c r="O34" s="63"/>
      <c r="P34" s="63"/>
      <c r="Q34" s="63"/>
      <c r="R34" s="63"/>
      <c r="S34" s="63"/>
      <c r="T34" s="63"/>
      <c r="V34" s="66"/>
      <c r="W34" s="63"/>
      <c r="X34" s="63"/>
      <c r="Y34" s="63"/>
      <c r="Z34" s="63"/>
    </row>
    <row r="35" spans="3:26" ht="15.75">
      <c r="C35" s="66"/>
      <c r="D35" s="63"/>
      <c r="E35" s="63"/>
      <c r="F35" s="63"/>
      <c r="G35" s="118"/>
      <c r="H35" s="63"/>
      <c r="I35" s="118"/>
      <c r="J35" s="122"/>
      <c r="K35" s="123"/>
      <c r="L35" s="63"/>
      <c r="M35" s="63"/>
      <c r="N35" s="63"/>
      <c r="O35" s="63"/>
      <c r="P35" s="63"/>
      <c r="Q35" s="63"/>
      <c r="R35" s="63"/>
      <c r="S35" s="63"/>
      <c r="T35" s="63"/>
      <c r="V35" s="66"/>
      <c r="W35" s="63"/>
      <c r="X35" s="63"/>
      <c r="Y35" s="63"/>
      <c r="Z35" s="63"/>
    </row>
    <row r="36" spans="3:26" ht="16.5" thickBot="1">
      <c r="C36" s="124"/>
      <c r="H36" s="63"/>
      <c r="I36" s="63"/>
      <c r="J36" s="63"/>
      <c r="K36" s="63"/>
      <c r="L36" s="63"/>
      <c r="M36" s="63"/>
      <c r="N36" s="63"/>
      <c r="O36" s="63"/>
      <c r="P36" s="63"/>
      <c r="V36" s="63"/>
      <c r="W36" s="63"/>
      <c r="X36" s="63"/>
      <c r="Y36" s="63"/>
      <c r="Z36" s="63"/>
    </row>
    <row r="37" spans="3:26" ht="16.5" thickTop="1">
      <c r="C37" s="125"/>
      <c r="D37" s="1067" t="s">
        <v>319</v>
      </c>
      <c r="E37" s="1068"/>
      <c r="F37" s="1068"/>
      <c r="G37" s="1069" t="s">
        <v>272</v>
      </c>
      <c r="H37" s="1068"/>
      <c r="I37" s="1068"/>
      <c r="J37" s="1068"/>
      <c r="K37" s="73"/>
      <c r="L37" s="1081" t="s">
        <v>320</v>
      </c>
      <c r="M37" s="1082"/>
      <c r="N37" s="1082"/>
      <c r="O37" s="1082"/>
      <c r="P37" s="1067" t="s">
        <v>321</v>
      </c>
      <c r="Q37" s="1081"/>
      <c r="R37" s="55" t="s">
        <v>322</v>
      </c>
      <c r="S37" s="55"/>
      <c r="T37" s="1068" t="s">
        <v>322</v>
      </c>
      <c r="U37" s="1083"/>
      <c r="V37" s="63"/>
      <c r="W37" s="63"/>
      <c r="X37" s="63"/>
      <c r="Y37" s="63"/>
      <c r="Z37" s="63"/>
    </row>
    <row r="38" spans="3:26" ht="15.75">
      <c r="C38" s="67" t="s">
        <v>323</v>
      </c>
      <c r="D38" s="68" t="s">
        <v>188</v>
      </c>
      <c r="E38" s="68" t="s">
        <v>324</v>
      </c>
      <c r="F38" s="52" t="s">
        <v>325</v>
      </c>
      <c r="G38" s="69" t="s">
        <v>326</v>
      </c>
      <c r="H38" s="68" t="s">
        <v>327</v>
      </c>
      <c r="I38" s="52" t="s">
        <v>328</v>
      </c>
      <c r="J38" s="1055" t="s">
        <v>328</v>
      </c>
      <c r="K38" s="1056"/>
      <c r="L38" s="53" t="s">
        <v>432</v>
      </c>
      <c r="M38" s="68" t="s">
        <v>434</v>
      </c>
      <c r="N38" s="410" t="s">
        <v>454</v>
      </c>
      <c r="O38" s="68" t="s">
        <v>330</v>
      </c>
      <c r="P38" s="68" t="s">
        <v>332</v>
      </c>
      <c r="Q38" s="68" t="s">
        <v>331</v>
      </c>
      <c r="R38" s="68" t="s">
        <v>328</v>
      </c>
      <c r="S38" s="52" t="s">
        <v>334</v>
      </c>
      <c r="T38" s="52" t="s">
        <v>333</v>
      </c>
      <c r="U38" s="85" t="s">
        <v>226</v>
      </c>
      <c r="V38" s="63"/>
      <c r="W38" s="63"/>
      <c r="X38" s="63"/>
      <c r="Y38" s="63"/>
      <c r="Z38" s="63"/>
    </row>
    <row r="39" spans="3:26" ht="16.5" thickBot="1">
      <c r="C39" s="72"/>
      <c r="D39" s="74" t="s">
        <v>335</v>
      </c>
      <c r="E39" s="74" t="s">
        <v>335</v>
      </c>
      <c r="F39" s="76" t="s">
        <v>335</v>
      </c>
      <c r="G39" s="77">
        <v>1</v>
      </c>
      <c r="H39" s="74" t="s">
        <v>326</v>
      </c>
      <c r="I39" s="76" t="s">
        <v>134</v>
      </c>
      <c r="J39" s="76"/>
      <c r="K39" s="78"/>
      <c r="L39" s="79">
        <v>3.854</v>
      </c>
      <c r="M39" s="74">
        <v>2.222</v>
      </c>
      <c r="N39" s="411">
        <v>1.578</v>
      </c>
      <c r="O39" s="74">
        <v>0.887</v>
      </c>
      <c r="P39" s="74">
        <v>0.393</v>
      </c>
      <c r="Q39" s="74">
        <v>0.62</v>
      </c>
      <c r="R39" s="74" t="s">
        <v>337</v>
      </c>
      <c r="S39" s="76"/>
      <c r="T39" s="76" t="s">
        <v>334</v>
      </c>
      <c r="U39" s="117" t="s">
        <v>227</v>
      </c>
      <c r="V39" s="63"/>
      <c r="W39" s="63"/>
      <c r="X39" s="63"/>
      <c r="Y39" s="63"/>
      <c r="Z39" s="63"/>
    </row>
    <row r="40" spans="3:26" ht="16.5" thickTop="1">
      <c r="C40" s="84"/>
      <c r="D40" s="82"/>
      <c r="E40" s="82"/>
      <c r="F40" s="82"/>
      <c r="G40" s="82"/>
      <c r="H40" s="82"/>
      <c r="I40" s="83"/>
      <c r="J40" s="83"/>
      <c r="K40" s="87"/>
      <c r="L40" s="86"/>
      <c r="M40" s="82"/>
      <c r="N40" s="82"/>
      <c r="O40" s="82"/>
      <c r="P40" s="82"/>
      <c r="Q40" s="82"/>
      <c r="R40" s="82"/>
      <c r="S40" s="83"/>
      <c r="T40" s="83"/>
      <c r="U40" s="87"/>
      <c r="V40" s="63"/>
      <c r="W40" s="63"/>
      <c r="X40" s="63"/>
      <c r="Y40" s="63"/>
      <c r="Z40" s="63"/>
    </row>
    <row r="41" spans="3:35" ht="15.75">
      <c r="C41" s="249"/>
      <c r="D41" s="445"/>
      <c r="E41" s="445"/>
      <c r="F41" s="445"/>
      <c r="G41" s="94"/>
      <c r="H41" s="68"/>
      <c r="I41" s="95"/>
      <c r="J41" s="95"/>
      <c r="K41" s="96"/>
      <c r="L41" s="69"/>
      <c r="M41" s="68"/>
      <c r="N41" s="68"/>
      <c r="O41" s="68"/>
      <c r="P41" s="68"/>
      <c r="Q41" s="94"/>
      <c r="R41" s="97"/>
      <c r="S41" s="98"/>
      <c r="T41" s="98"/>
      <c r="U41" s="164"/>
      <c r="V41" s="128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3:26" ht="15.75">
      <c r="C42" s="359" t="s">
        <v>636</v>
      </c>
      <c r="D42" s="374"/>
      <c r="E42" s="374"/>
      <c r="F42" s="94"/>
      <c r="G42" s="94"/>
      <c r="H42" s="68"/>
      <c r="I42" s="95"/>
      <c r="J42" s="95"/>
      <c r="K42" s="96"/>
      <c r="L42" s="69"/>
      <c r="M42" s="68"/>
      <c r="N42" s="68"/>
      <c r="O42" s="68"/>
      <c r="P42" s="68"/>
      <c r="Q42" s="94"/>
      <c r="R42" s="97"/>
      <c r="S42" s="98"/>
      <c r="T42" s="98"/>
      <c r="U42" s="164"/>
      <c r="V42" s="128"/>
      <c r="W42" s="63"/>
      <c r="X42" s="63"/>
      <c r="Y42" s="63"/>
      <c r="Z42" s="63"/>
    </row>
    <row r="43" spans="3:26" ht="15.75">
      <c r="C43" s="249" t="s">
        <v>637</v>
      </c>
      <c r="D43" s="374">
        <v>0.15</v>
      </c>
      <c r="E43" s="374">
        <v>0.15</v>
      </c>
      <c r="F43" s="94"/>
      <c r="G43" s="94">
        <f>F43*E43*D43</f>
        <v>0</v>
      </c>
      <c r="H43" s="68">
        <v>1</v>
      </c>
      <c r="I43" s="95">
        <f>H43*G43</f>
        <v>0</v>
      </c>
      <c r="J43" s="95"/>
      <c r="K43" s="96"/>
      <c r="L43" s="69"/>
      <c r="M43" s="68"/>
      <c r="N43" s="68"/>
      <c r="O43" s="68">
        <v>4</v>
      </c>
      <c r="P43" s="68">
        <v>5</v>
      </c>
      <c r="Q43" s="94"/>
      <c r="R43" s="97">
        <f>(L43*L$39)+(M43*M$39)+(N43*N$39)+(O43*O$39)+(P43*P$39*(D43+E43)*2)+(Q43*Q$39*(D43+E43)*2)</f>
        <v>4.727</v>
      </c>
      <c r="S43" s="98"/>
      <c r="T43" s="98">
        <f>R43/D43/E43</f>
        <v>210.0888888888889</v>
      </c>
      <c r="U43" s="164">
        <f>ROUND(T43/5+0.5,0)*5</f>
        <v>215</v>
      </c>
      <c r="V43" s="128"/>
      <c r="W43" s="63"/>
      <c r="X43" s="63"/>
      <c r="Y43" s="63"/>
      <c r="Z43" s="63"/>
    </row>
    <row r="44" spans="2:26" ht="15.75">
      <c r="B44" s="435"/>
      <c r="C44" s="249" t="s">
        <v>638</v>
      </c>
      <c r="D44" s="374">
        <v>0.3</v>
      </c>
      <c r="E44" s="374">
        <v>0.3</v>
      </c>
      <c r="F44" s="94">
        <v>3.1</v>
      </c>
      <c r="G44" s="94">
        <f>F44*E44*D44</f>
        <v>0.27899999999999997</v>
      </c>
      <c r="H44" s="68">
        <v>8</v>
      </c>
      <c r="I44" s="95">
        <f>H44*G44</f>
        <v>2.2319999999999998</v>
      </c>
      <c r="J44" s="95">
        <f>I44</f>
        <v>2.2319999999999998</v>
      </c>
      <c r="K44" s="96"/>
      <c r="L44" s="69"/>
      <c r="M44" s="68"/>
      <c r="N44" s="68"/>
      <c r="O44" s="68">
        <v>4</v>
      </c>
      <c r="P44" s="68">
        <v>5</v>
      </c>
      <c r="Q44" s="94"/>
      <c r="R44" s="97">
        <f>(L44*L$39)+(M44*M$39)+(N44*N$39)+(O44*O$39)+(P44*P$39*(D44+E44)*2)+(Q44*Q$39*(D44+E44)*2)</f>
        <v>5.906000000000001</v>
      </c>
      <c r="S44" s="98"/>
      <c r="T44" s="98">
        <f>R44/D44/E44</f>
        <v>65.62222222222223</v>
      </c>
      <c r="U44" s="164">
        <f>ROUND(T44/5+0.5,0)*5</f>
        <v>70</v>
      </c>
      <c r="V44" s="128"/>
      <c r="W44" s="63"/>
      <c r="X44" s="63"/>
      <c r="Y44" s="63"/>
      <c r="Z44" s="63"/>
    </row>
    <row r="45" spans="3:26" ht="15.75">
      <c r="C45" s="249" t="s">
        <v>642</v>
      </c>
      <c r="D45" s="374">
        <v>0.12</v>
      </c>
      <c r="E45" s="374">
        <v>0.12</v>
      </c>
      <c r="F45" s="94">
        <v>3.9</v>
      </c>
      <c r="G45" s="94">
        <f>F45*E45*D45</f>
        <v>0.056159999999999995</v>
      </c>
      <c r="H45" s="68">
        <v>86</v>
      </c>
      <c r="I45" s="95">
        <f>H45*G45</f>
        <v>4.829759999999999</v>
      </c>
      <c r="J45" s="95">
        <f>I45</f>
        <v>4.829759999999999</v>
      </c>
      <c r="K45" s="96"/>
      <c r="L45" s="69"/>
      <c r="M45" s="68"/>
      <c r="N45" s="68"/>
      <c r="O45" s="68">
        <v>4</v>
      </c>
      <c r="P45" s="68">
        <v>5</v>
      </c>
      <c r="Q45" s="94"/>
      <c r="R45" s="97">
        <f>(L45*L$39)+(M45*M$39)+(N45*N$39)+(O45*O$39)+(P45*P$39*(D45+E45)*2)+(Q45*Q$39*(D45+E45)*2)</f>
        <v>4.4912</v>
      </c>
      <c r="S45" s="98"/>
      <c r="T45" s="98">
        <f>R45/D45/E45</f>
        <v>311.8888888888889</v>
      </c>
      <c r="U45" s="164">
        <f>ROUND(T45/5+0.5,0)*5</f>
        <v>315</v>
      </c>
      <c r="V45" s="128"/>
      <c r="W45" s="63"/>
      <c r="X45" s="63"/>
      <c r="Y45" s="63"/>
      <c r="Z45" s="63"/>
    </row>
    <row r="46" spans="3:26" ht="15.75">
      <c r="C46" s="249"/>
      <c r="D46" s="374"/>
      <c r="E46" s="374"/>
      <c r="F46" s="94"/>
      <c r="G46" s="94"/>
      <c r="H46" s="68"/>
      <c r="I46" s="95"/>
      <c r="J46" s="95"/>
      <c r="K46" s="96"/>
      <c r="L46" s="69"/>
      <c r="M46" s="68"/>
      <c r="N46" s="68"/>
      <c r="O46" s="68"/>
      <c r="P46" s="68"/>
      <c r="Q46" s="94"/>
      <c r="R46" s="97"/>
      <c r="S46" s="98"/>
      <c r="T46" s="98"/>
      <c r="U46" s="164"/>
      <c r="V46" s="128"/>
      <c r="W46" s="63"/>
      <c r="X46" s="63"/>
      <c r="Y46" s="63"/>
      <c r="Z46" s="63"/>
    </row>
    <row r="47" spans="3:26" ht="15.75">
      <c r="C47" s="444"/>
      <c r="D47" s="399"/>
      <c r="E47" s="399"/>
      <c r="F47" s="399"/>
      <c r="G47" s="399"/>
      <c r="H47" s="247"/>
      <c r="I47" s="400"/>
      <c r="J47" s="400"/>
      <c r="K47" s="401"/>
      <c r="L47" s="130"/>
      <c r="M47" s="247"/>
      <c r="N47" s="247"/>
      <c r="O47" s="247"/>
      <c r="P47" s="247"/>
      <c r="Q47" s="399"/>
      <c r="R47" s="131"/>
      <c r="S47" s="136"/>
      <c r="T47" s="136"/>
      <c r="U47" s="402"/>
      <c r="V47" s="63">
        <v>3</v>
      </c>
      <c r="W47" s="63"/>
      <c r="X47" s="63"/>
      <c r="Y47" s="63"/>
      <c r="Z47" s="63"/>
    </row>
    <row r="48" spans="3:26" ht="15.75">
      <c r="C48" s="480" t="s">
        <v>433</v>
      </c>
      <c r="D48" s="403"/>
      <c r="E48" s="403"/>
      <c r="F48" s="404"/>
      <c r="G48" s="404"/>
      <c r="H48" s="248"/>
      <c r="I48" s="405"/>
      <c r="J48" s="405"/>
      <c r="K48" s="406"/>
      <c r="L48" s="64"/>
      <c r="M48" s="248"/>
      <c r="N48" s="248"/>
      <c r="O48" s="248"/>
      <c r="P48" s="248"/>
      <c r="Q48" s="404"/>
      <c r="R48" s="147"/>
      <c r="S48" s="145"/>
      <c r="T48" s="145"/>
      <c r="U48" s="407"/>
      <c r="V48" s="63">
        <v>1</v>
      </c>
      <c r="W48" s="63"/>
      <c r="X48" s="63"/>
      <c r="Y48" s="63"/>
      <c r="Z48" s="63"/>
    </row>
    <row r="49" spans="3:26" ht="15.75">
      <c r="C49" s="100" t="s">
        <v>480</v>
      </c>
      <c r="D49" s="374">
        <v>0.2</v>
      </c>
      <c r="E49" s="374">
        <v>0.3</v>
      </c>
      <c r="F49" s="94"/>
      <c r="G49" s="94">
        <f>F49*E49*D49</f>
        <v>0</v>
      </c>
      <c r="H49" s="375">
        <v>1</v>
      </c>
      <c r="I49" s="95">
        <f>H49*G49</f>
        <v>0</v>
      </c>
      <c r="J49" s="95"/>
      <c r="K49" s="96"/>
      <c r="L49" s="69"/>
      <c r="M49" s="68"/>
      <c r="N49" s="68"/>
      <c r="O49" s="68">
        <v>6</v>
      </c>
      <c r="P49" s="68">
        <v>5</v>
      </c>
      <c r="Q49" s="94"/>
      <c r="R49" s="97">
        <f>(L49*L$39)+(M49*M$39)+(N49*N$39)+(O49*O$39)+(P49*P$39*(D49+E49)*2)+(Q49*Q$39*(D49+E49)*2)+(1.5*P$39*100/40)</f>
        <v>8.76075</v>
      </c>
      <c r="S49" s="98">
        <f>R49/D49/E49</f>
        <v>146.0125</v>
      </c>
      <c r="T49" s="98">
        <f>S49</f>
        <v>146.0125</v>
      </c>
      <c r="U49" s="164">
        <f>ROUND(T49/5+0.5,0)*5</f>
        <v>150</v>
      </c>
      <c r="V49" s="128">
        <v>1</v>
      </c>
      <c r="W49" s="63"/>
      <c r="X49" s="63"/>
      <c r="Y49" s="63"/>
      <c r="Z49" s="63"/>
    </row>
    <row r="50" spans="3:26" ht="15.75">
      <c r="C50" s="100"/>
      <c r="D50" s="374"/>
      <c r="E50" s="374"/>
      <c r="F50" s="94"/>
      <c r="G50" s="94">
        <f>F50*E50*D50</f>
        <v>0</v>
      </c>
      <c r="H50" s="375">
        <v>1</v>
      </c>
      <c r="I50" s="95">
        <f>H50*G50</f>
        <v>0</v>
      </c>
      <c r="J50" s="95"/>
      <c r="K50" s="96"/>
      <c r="L50" s="69"/>
      <c r="M50" s="68"/>
      <c r="N50" s="68"/>
      <c r="O50" s="68"/>
      <c r="P50" s="68"/>
      <c r="Q50" s="94"/>
      <c r="R50" s="97"/>
      <c r="S50" s="98"/>
      <c r="T50" s="98"/>
      <c r="U50" s="164"/>
      <c r="V50" s="128">
        <v>1</v>
      </c>
      <c r="W50" s="63"/>
      <c r="X50" s="63"/>
      <c r="Y50" s="63"/>
      <c r="Z50" s="63"/>
    </row>
    <row r="51" spans="3:26" ht="15.75">
      <c r="C51" s="100" t="s">
        <v>456</v>
      </c>
      <c r="D51" s="94">
        <v>0.15</v>
      </c>
      <c r="E51" s="374">
        <v>0.2</v>
      </c>
      <c r="F51" s="94">
        <f>B655</f>
        <v>236.04999999999993</v>
      </c>
      <c r="G51" s="94">
        <f>F51*E51*D51</f>
        <v>7.0814999999999975</v>
      </c>
      <c r="H51" s="375">
        <v>1</v>
      </c>
      <c r="I51" s="95">
        <f>H51*G51</f>
        <v>7.0814999999999975</v>
      </c>
      <c r="J51" s="95"/>
      <c r="K51" s="96"/>
      <c r="L51" s="69"/>
      <c r="M51" s="68"/>
      <c r="N51" s="68"/>
      <c r="O51" s="68">
        <v>4</v>
      </c>
      <c r="P51" s="68">
        <v>5</v>
      </c>
      <c r="Q51" s="94"/>
      <c r="R51" s="97">
        <f>(L51*L$39)+(M51*M$39)+(N51*N$39)+(O51*O$39)+(P51*P$39*(D51+E51)*2)+(Q51*Q$39*(D51+E51)*2)+(1.5*P$39*100/40)</f>
        <v>6.39725</v>
      </c>
      <c r="S51" s="98">
        <f>R51/D51/E51</f>
        <v>213.24166666666665</v>
      </c>
      <c r="T51" s="98">
        <f>S51</f>
        <v>213.24166666666665</v>
      </c>
      <c r="U51" s="164">
        <f>ROUND(T51/5+0.5,0)*5</f>
        <v>215</v>
      </c>
      <c r="V51" s="63"/>
      <c r="W51" s="63"/>
      <c r="X51" s="63"/>
      <c r="Y51" s="63"/>
      <c r="Z51" s="63"/>
    </row>
    <row r="52" spans="3:26" ht="15.75">
      <c r="C52" s="100"/>
      <c r="D52" s="94"/>
      <c r="E52" s="374"/>
      <c r="F52" s="94"/>
      <c r="G52" s="94"/>
      <c r="H52" s="375"/>
      <c r="I52" s="95"/>
      <c r="J52" s="95"/>
      <c r="K52" s="96"/>
      <c r="L52" s="69"/>
      <c r="M52" s="68"/>
      <c r="N52" s="68"/>
      <c r="O52" s="68"/>
      <c r="P52" s="68"/>
      <c r="Q52" s="94"/>
      <c r="R52" s="97"/>
      <c r="S52" s="98"/>
      <c r="T52" s="98"/>
      <c r="U52" s="164"/>
      <c r="V52" s="63"/>
      <c r="W52" s="63"/>
      <c r="X52" s="63"/>
      <c r="Y52" s="63"/>
      <c r="Z52" s="63"/>
    </row>
    <row r="53" spans="3:26" ht="15.75">
      <c r="C53" s="88" t="s">
        <v>441</v>
      </c>
      <c r="D53" s="94"/>
      <c r="E53" s="374"/>
      <c r="F53" s="94"/>
      <c r="G53" s="94"/>
      <c r="H53" s="375"/>
      <c r="I53" s="95"/>
      <c r="J53" s="95"/>
      <c r="K53" s="96"/>
      <c r="L53" s="69"/>
      <c r="M53" s="68"/>
      <c r="N53" s="68"/>
      <c r="O53" s="68"/>
      <c r="P53" s="68"/>
      <c r="Q53" s="94"/>
      <c r="R53" s="97"/>
      <c r="S53" s="98"/>
      <c r="T53" s="98"/>
      <c r="U53" s="164"/>
      <c r="V53" s="63"/>
      <c r="W53" s="63"/>
      <c r="X53" s="63"/>
      <c r="Y53" s="63"/>
      <c r="Z53" s="63"/>
    </row>
    <row r="54" spans="3:26" ht="15.75">
      <c r="C54" s="528" t="s">
        <v>727</v>
      </c>
      <c r="D54" s="94">
        <v>0.2</v>
      </c>
      <c r="E54" s="374">
        <v>0.5</v>
      </c>
      <c r="F54" s="94">
        <v>6</v>
      </c>
      <c r="G54" s="94">
        <f aca="true" t="shared" si="1" ref="G54:G59">F54*E54*D54</f>
        <v>0.6000000000000001</v>
      </c>
      <c r="H54" s="375">
        <v>2</v>
      </c>
      <c r="I54" s="95">
        <f aca="true" t="shared" si="2" ref="I54:I59">H54*G54</f>
        <v>1.2000000000000002</v>
      </c>
      <c r="J54" s="95"/>
      <c r="K54" s="96"/>
      <c r="L54" s="69"/>
      <c r="M54" s="68"/>
      <c r="N54" s="68">
        <v>6</v>
      </c>
      <c r="O54" s="68"/>
      <c r="P54" s="68">
        <v>5</v>
      </c>
      <c r="Q54" s="94"/>
      <c r="R54" s="97">
        <f>(L54*L$39)+(M54*M$39)+(N54*N$39)+(O54*O$39)+(P54*P$39*(D54+E54)*2)+(Q54*Q$39*(D54+E54)*2)+(1.5*P$39*100/40)</f>
        <v>13.69275</v>
      </c>
      <c r="S54" s="98">
        <f>R54/D54/E54</f>
        <v>136.92749999999998</v>
      </c>
      <c r="T54" s="98">
        <f>S54</f>
        <v>136.92749999999998</v>
      </c>
      <c r="U54" s="164">
        <f>ROUND(T54/5+0.5,0)*5</f>
        <v>140</v>
      </c>
      <c r="V54" s="63"/>
      <c r="W54" s="63"/>
      <c r="X54" s="63"/>
      <c r="Y54" s="63"/>
      <c r="Z54" s="63"/>
    </row>
    <row r="55" spans="3:26" ht="15.75">
      <c r="C55" s="100"/>
      <c r="D55" s="94">
        <v>0.2</v>
      </c>
      <c r="E55" s="374">
        <v>0.5</v>
      </c>
      <c r="F55" s="94">
        <v>3.3</v>
      </c>
      <c r="G55" s="94">
        <f t="shared" si="1"/>
        <v>0.33</v>
      </c>
      <c r="H55" s="375">
        <v>2</v>
      </c>
      <c r="I55" s="95">
        <f t="shared" si="2"/>
        <v>0.66</v>
      </c>
      <c r="J55" s="95">
        <f>SUM(I54:I55)</f>
        <v>1.8600000000000003</v>
      </c>
      <c r="K55" s="96">
        <f>J55</f>
        <v>1.8600000000000003</v>
      </c>
      <c r="L55" s="69"/>
      <c r="M55" s="68"/>
      <c r="N55" s="68"/>
      <c r="O55" s="68"/>
      <c r="P55" s="68"/>
      <c r="Q55" s="94"/>
      <c r="R55" s="97"/>
      <c r="S55" s="98"/>
      <c r="T55" s="98"/>
      <c r="U55" s="164"/>
      <c r="V55" s="63"/>
      <c r="W55" s="63"/>
      <c r="X55" s="63"/>
      <c r="Y55" s="63"/>
      <c r="Z55" s="63"/>
    </row>
    <row r="56" spans="3:26" ht="15.75">
      <c r="C56" s="529" t="s">
        <v>728</v>
      </c>
      <c r="D56" s="94">
        <v>0.2</v>
      </c>
      <c r="E56" s="374">
        <v>0.4</v>
      </c>
      <c r="F56" s="94">
        <v>4.6</v>
      </c>
      <c r="G56" s="94">
        <f t="shared" si="1"/>
        <v>0.368</v>
      </c>
      <c r="H56" s="375">
        <v>4</v>
      </c>
      <c r="I56" s="95">
        <f t="shared" si="2"/>
        <v>1.472</v>
      </c>
      <c r="J56" s="95">
        <f>I56</f>
        <v>1.472</v>
      </c>
      <c r="K56" s="96">
        <f>J56</f>
        <v>1.472</v>
      </c>
      <c r="L56" s="69"/>
      <c r="M56" s="68"/>
      <c r="N56" s="68">
        <v>5</v>
      </c>
      <c r="O56" s="68"/>
      <c r="P56" s="68">
        <v>5</v>
      </c>
      <c r="Q56" s="94"/>
      <c r="R56" s="97">
        <f>(L56*L$39)+(M56*M$39)+(N56*N$39)+(O56*O$39)+(P56*P$39*(D56+E56)*2)+(Q56*Q$39*(D56+E56)*2)+(1.5*P$39*100/40)</f>
        <v>11.721750000000002</v>
      </c>
      <c r="S56" s="98">
        <f>R56/D56/E56</f>
        <v>146.52187500000002</v>
      </c>
      <c r="T56" s="98">
        <f>S56</f>
        <v>146.52187500000002</v>
      </c>
      <c r="U56" s="164">
        <f>ROUND(T56/5+0.5,0)*5</f>
        <v>150</v>
      </c>
      <c r="V56" s="63"/>
      <c r="W56" s="63"/>
      <c r="X56" s="63"/>
      <c r="Y56" s="63"/>
      <c r="Z56" s="63"/>
    </row>
    <row r="57" spans="3:26" ht="15.75">
      <c r="C57" s="529" t="s">
        <v>729</v>
      </c>
      <c r="D57" s="94">
        <v>0.2</v>
      </c>
      <c r="E57" s="374">
        <v>0.3</v>
      </c>
      <c r="F57" s="94">
        <v>3.5</v>
      </c>
      <c r="G57" s="94">
        <f t="shared" si="1"/>
        <v>0.21000000000000002</v>
      </c>
      <c r="H57" s="375">
        <v>2</v>
      </c>
      <c r="I57" s="95">
        <f t="shared" si="2"/>
        <v>0.42000000000000004</v>
      </c>
      <c r="J57" s="95"/>
      <c r="K57" s="96"/>
      <c r="L57" s="69"/>
      <c r="M57" s="68"/>
      <c r="N57" s="68">
        <v>5</v>
      </c>
      <c r="O57" s="68"/>
      <c r="P57" s="68">
        <v>5</v>
      </c>
      <c r="Q57" s="94"/>
      <c r="R57" s="97">
        <f>(L57*L$39)+(M57*M$39)+(N57*N$39)+(O57*O$39)+(P57*P$39*(D57+E57)*2)+(Q57*Q$39*(D57+E57)*2)+(1.5*P$39*100/40)</f>
        <v>11.328750000000001</v>
      </c>
      <c r="S57" s="98">
        <f>R57/D57/E57</f>
        <v>188.81250000000003</v>
      </c>
      <c r="T57" s="98">
        <f>S57</f>
        <v>188.81250000000003</v>
      </c>
      <c r="U57" s="164">
        <f>ROUND(T57/5+0.5,0)*5</f>
        <v>190</v>
      </c>
      <c r="V57" s="63"/>
      <c r="W57" s="63"/>
      <c r="X57" s="63"/>
      <c r="Y57" s="63"/>
      <c r="Z57" s="63"/>
    </row>
    <row r="58" spans="3:26" ht="15.75">
      <c r="C58" s="100"/>
      <c r="D58" s="94">
        <v>0.2</v>
      </c>
      <c r="E58" s="374">
        <v>0.3</v>
      </c>
      <c r="F58" s="94">
        <v>2.25</v>
      </c>
      <c r="G58" s="94">
        <f t="shared" si="1"/>
        <v>0.13499999999999998</v>
      </c>
      <c r="H58" s="375">
        <v>6</v>
      </c>
      <c r="I58" s="95">
        <f t="shared" si="2"/>
        <v>0.8099999999999998</v>
      </c>
      <c r="J58" s="95">
        <f>SUM(I57:I58)</f>
        <v>1.23</v>
      </c>
      <c r="K58" s="96">
        <f>J58</f>
        <v>1.23</v>
      </c>
      <c r="L58" s="69"/>
      <c r="M58" s="68"/>
      <c r="N58" s="68"/>
      <c r="O58" s="68"/>
      <c r="P58" s="68"/>
      <c r="Q58" s="94"/>
      <c r="R58" s="97"/>
      <c r="S58" s="98"/>
      <c r="T58" s="98"/>
      <c r="U58" s="164"/>
      <c r="V58" s="63"/>
      <c r="W58" s="63"/>
      <c r="X58" s="63"/>
      <c r="Y58" s="63"/>
      <c r="Z58" s="63"/>
    </row>
    <row r="59" spans="3:26" ht="15.75">
      <c r="C59" s="100"/>
      <c r="D59" s="94"/>
      <c r="E59" s="374"/>
      <c r="F59" s="94"/>
      <c r="G59" s="94">
        <f t="shared" si="1"/>
        <v>0</v>
      </c>
      <c r="H59" s="375"/>
      <c r="I59" s="95">
        <f t="shared" si="2"/>
        <v>0</v>
      </c>
      <c r="J59" s="95"/>
      <c r="K59" s="96"/>
      <c r="L59" s="69"/>
      <c r="M59" s="68"/>
      <c r="N59" s="68"/>
      <c r="O59" s="68"/>
      <c r="P59" s="68"/>
      <c r="Q59" s="94"/>
      <c r="R59" s="97"/>
      <c r="S59" s="98"/>
      <c r="T59" s="98"/>
      <c r="U59" s="164"/>
      <c r="V59" s="63"/>
      <c r="W59" s="63"/>
      <c r="X59" s="63"/>
      <c r="Y59" s="63"/>
      <c r="Z59" s="63"/>
    </row>
    <row r="60" spans="3:26" ht="15.75">
      <c r="C60" s="100"/>
      <c r="D60" s="94"/>
      <c r="E60" s="374"/>
      <c r="F60" s="94"/>
      <c r="G60" s="94"/>
      <c r="H60" s="68"/>
      <c r="I60" s="95"/>
      <c r="J60" s="95"/>
      <c r="K60" s="96"/>
      <c r="L60" s="69"/>
      <c r="M60" s="68"/>
      <c r="N60" s="68"/>
      <c r="O60" s="68"/>
      <c r="P60" s="68"/>
      <c r="Q60" s="94"/>
      <c r="R60" s="97"/>
      <c r="S60" s="98"/>
      <c r="T60" s="98"/>
      <c r="U60" s="164"/>
      <c r="V60" s="63"/>
      <c r="W60" s="63"/>
      <c r="X60" s="63"/>
      <c r="Y60" s="63"/>
      <c r="Z60" s="63"/>
    </row>
    <row r="61" spans="3:26" ht="15.75">
      <c r="C61" s="440" t="s">
        <v>340</v>
      </c>
      <c r="D61" s="479"/>
      <c r="E61" s="479"/>
      <c r="F61" s="479"/>
      <c r="G61" s="94"/>
      <c r="H61" s="68"/>
      <c r="I61" s="95"/>
      <c r="J61" s="95"/>
      <c r="K61" s="96"/>
      <c r="L61" s="69"/>
      <c r="M61" s="68"/>
      <c r="N61" s="68"/>
      <c r="O61" s="68"/>
      <c r="P61" s="68"/>
      <c r="Q61" s="94"/>
      <c r="R61" s="97"/>
      <c r="S61" s="98"/>
      <c r="T61" s="98"/>
      <c r="U61" s="164"/>
      <c r="V61" s="63"/>
      <c r="W61" s="63"/>
      <c r="X61" s="63"/>
      <c r="Y61" s="63"/>
      <c r="Z61" s="63"/>
    </row>
    <row r="62" spans="3:26" ht="15.75">
      <c r="C62" s="353" t="s">
        <v>476</v>
      </c>
      <c r="D62" s="482">
        <v>0.2</v>
      </c>
      <c r="E62" s="482">
        <v>0.25</v>
      </c>
      <c r="F62" s="482">
        <f>18.1+21+18+18+12.5+12.5+10.3+6.6+3+3+4+3.4+10+2*3+13+13+3</f>
        <v>175.39999999999998</v>
      </c>
      <c r="G62" s="94">
        <f>F62*E62*D62</f>
        <v>8.77</v>
      </c>
      <c r="H62" s="375"/>
      <c r="I62" s="95">
        <f>H62*G62</f>
        <v>0</v>
      </c>
      <c r="J62" s="95"/>
      <c r="K62" s="96"/>
      <c r="L62" s="69"/>
      <c r="M62" s="68"/>
      <c r="N62" s="68"/>
      <c r="O62" s="68">
        <v>6</v>
      </c>
      <c r="P62" s="68">
        <v>5</v>
      </c>
      <c r="Q62" s="94"/>
      <c r="R62" s="97">
        <f>(L62*L$39)+(M62*M$39)+(N62*N$39)+(O62*O$39)+(P62*P$39*(D62+E62)*2)+(Q62*Q$39*(D62+E62)*2)+(1.5*P$39*100/40)</f>
        <v>8.564250000000001</v>
      </c>
      <c r="S62" s="98"/>
      <c r="T62" s="98">
        <f>R62/D62/E62</f>
        <v>171.28500000000003</v>
      </c>
      <c r="U62" s="164">
        <f>ROUND(T62/5+0.5,0)*5</f>
        <v>175</v>
      </c>
      <c r="V62" s="63"/>
      <c r="W62" s="63"/>
      <c r="X62" s="63"/>
      <c r="Y62" s="63"/>
      <c r="Z62" s="63"/>
    </row>
    <row r="63" spans="3:26" ht="15.75">
      <c r="C63" s="414"/>
      <c r="D63" s="479"/>
      <c r="E63" s="479"/>
      <c r="F63" s="479"/>
      <c r="G63" s="94"/>
      <c r="H63" s="68"/>
      <c r="I63" s="95"/>
      <c r="J63" s="95"/>
      <c r="K63" s="96"/>
      <c r="L63" s="69"/>
      <c r="M63" s="68"/>
      <c r="N63" s="68"/>
      <c r="O63" s="68"/>
      <c r="P63" s="68"/>
      <c r="Q63" s="94"/>
      <c r="R63" s="97"/>
      <c r="S63" s="98"/>
      <c r="T63" s="98"/>
      <c r="U63" s="164"/>
      <c r="V63" s="63"/>
      <c r="W63" s="63"/>
      <c r="X63" s="63"/>
      <c r="Y63" s="63"/>
      <c r="Z63" s="63"/>
    </row>
    <row r="64" spans="3:26" ht="15.75">
      <c r="C64" s="414"/>
      <c r="D64" s="479"/>
      <c r="E64" s="479"/>
      <c r="F64" s="479"/>
      <c r="G64" s="94"/>
      <c r="H64" s="375"/>
      <c r="I64" s="95"/>
      <c r="J64" s="95"/>
      <c r="K64" s="96"/>
      <c r="L64" s="69"/>
      <c r="M64" s="68"/>
      <c r="N64" s="68"/>
      <c r="O64" s="68"/>
      <c r="P64" s="68"/>
      <c r="Q64" s="94"/>
      <c r="R64" s="97"/>
      <c r="S64" s="98"/>
      <c r="T64" s="98"/>
      <c r="U64" s="164"/>
      <c r="V64" s="63"/>
      <c r="W64" s="63"/>
      <c r="X64" s="63"/>
      <c r="Y64" s="63"/>
      <c r="Z64" s="63"/>
    </row>
    <row r="65" spans="3:26" ht="15.75">
      <c r="C65" s="353" t="s">
        <v>455</v>
      </c>
      <c r="D65" s="482">
        <v>0.15</v>
      </c>
      <c r="E65" s="482">
        <v>0.2</v>
      </c>
      <c r="F65" s="482">
        <f>18+10.5+2*6+1.4+3.8+1.9*2+1.6+2.8*2</f>
        <v>56.699999999999996</v>
      </c>
      <c r="G65" s="482">
        <f>F65*E65*D65</f>
        <v>1.7009999999999998</v>
      </c>
      <c r="H65" s="94">
        <v>1</v>
      </c>
      <c r="I65" s="95">
        <f>H65*G65</f>
        <v>1.7009999999999998</v>
      </c>
      <c r="J65" s="95">
        <f>I65</f>
        <v>1.7009999999999998</v>
      </c>
      <c r="K65" s="96"/>
      <c r="L65" s="69"/>
      <c r="M65" s="68"/>
      <c r="N65" s="68"/>
      <c r="O65" s="68">
        <v>4</v>
      </c>
      <c r="P65" s="68">
        <v>5</v>
      </c>
      <c r="Q65" s="94"/>
      <c r="R65" s="97">
        <f>(L65*L$39)+(M65*M$39)+(N65*N$39)+(O65*O$39)+(P65*P$39*(D65+E65)*2)+(Q65*Q$39*(D65+E65)*2)+(1.5*P$39*100/40)</f>
        <v>6.39725</v>
      </c>
      <c r="S65" s="98"/>
      <c r="T65" s="98">
        <f>R65/D65/E65</f>
        <v>213.24166666666665</v>
      </c>
      <c r="U65" s="164">
        <f>ROUND(T65/5+0.5,0)*5</f>
        <v>215</v>
      </c>
      <c r="V65" s="63"/>
      <c r="W65" s="63"/>
      <c r="X65" s="63"/>
      <c r="Y65" s="63"/>
      <c r="Z65" s="63"/>
    </row>
    <row r="66" spans="3:26" ht="15.75">
      <c r="C66" s="481"/>
      <c r="D66" s="482"/>
      <c r="E66" s="482"/>
      <c r="F66" s="482"/>
      <c r="G66" s="482"/>
      <c r="H66" s="94"/>
      <c r="I66" s="95"/>
      <c r="J66" s="95"/>
      <c r="K66" s="96">
        <f>J66</f>
        <v>0</v>
      </c>
      <c r="L66" s="53"/>
      <c r="M66" s="68"/>
      <c r="N66" s="68"/>
      <c r="O66" s="68"/>
      <c r="P66" s="68"/>
      <c r="Q66" s="94"/>
      <c r="R66" s="97"/>
      <c r="S66" s="98"/>
      <c r="T66" s="98"/>
      <c r="U66" s="164"/>
      <c r="V66" s="63"/>
      <c r="W66" s="63"/>
      <c r="X66" s="63"/>
      <c r="Y66" s="63"/>
      <c r="Z66" s="63"/>
    </row>
    <row r="67" spans="3:26" ht="15.75">
      <c r="C67" s="130"/>
      <c r="D67" s="131"/>
      <c r="E67" s="131"/>
      <c r="F67" s="334"/>
      <c r="G67" s="376"/>
      <c r="H67" s="131"/>
      <c r="I67" s="132"/>
      <c r="J67" s="133"/>
      <c r="K67" s="134"/>
      <c r="L67" s="135"/>
      <c r="M67" s="131"/>
      <c r="N67" s="131"/>
      <c r="O67" s="131"/>
      <c r="P67" s="131"/>
      <c r="Q67" s="131"/>
      <c r="R67" s="131"/>
      <c r="S67" s="136"/>
      <c r="T67" s="136"/>
      <c r="U67" s="137"/>
      <c r="V67" s="63"/>
      <c r="W67" s="63"/>
      <c r="X67" s="63"/>
      <c r="Y67" s="63"/>
      <c r="Z67" s="63"/>
    </row>
    <row r="68" spans="3:26" ht="15.75">
      <c r="C68" s="101" t="s">
        <v>457</v>
      </c>
      <c r="D68" s="97"/>
      <c r="E68" s="97"/>
      <c r="F68" s="97"/>
      <c r="G68" s="377"/>
      <c r="H68" s="97"/>
      <c r="I68" s="140"/>
      <c r="J68" s="141"/>
      <c r="K68" s="142"/>
      <c r="L68" s="104"/>
      <c r="M68" s="97"/>
      <c r="N68" s="97"/>
      <c r="O68" s="97"/>
      <c r="P68" s="97"/>
      <c r="Q68" s="97"/>
      <c r="R68" s="97"/>
      <c r="S68" s="98"/>
      <c r="T68" s="98"/>
      <c r="U68" s="85"/>
      <c r="V68" s="63"/>
      <c r="W68" s="63"/>
      <c r="X68" s="63"/>
      <c r="Y68" s="63"/>
      <c r="Z68" s="63"/>
    </row>
    <row r="69" spans="3:26" ht="15.75">
      <c r="C69" s="69"/>
      <c r="D69" s="97">
        <v>0.12</v>
      </c>
      <c r="E69" s="97">
        <v>0.2</v>
      </c>
      <c r="F69" s="97"/>
      <c r="G69" s="377">
        <f>D69*E69*F69</f>
        <v>0</v>
      </c>
      <c r="H69" s="375"/>
      <c r="I69" s="140">
        <f>H69*G69</f>
        <v>0</v>
      </c>
      <c r="J69" s="141"/>
      <c r="K69" s="142"/>
      <c r="L69" s="104"/>
      <c r="M69" s="97"/>
      <c r="N69" s="97">
        <v>0</v>
      </c>
      <c r="O69" s="97">
        <v>4</v>
      </c>
      <c r="P69" s="97"/>
      <c r="Q69" s="97">
        <v>5</v>
      </c>
      <c r="R69" s="97">
        <f>(L69*L$16)+(M69*M$16)+(N69*N$16)+(O69*O$16)+(P69*P$16*(D69+E69)*2)+(Q69*Q$16*(D69+E69)*2)</f>
        <v>4.464</v>
      </c>
      <c r="S69" s="98"/>
      <c r="T69" s="98">
        <f>R69/D69/E69</f>
        <v>186</v>
      </c>
      <c r="U69" s="164">
        <f>ROUND(T69/5+0.5,0)*5</f>
        <v>190</v>
      </c>
      <c r="V69" s="63"/>
      <c r="W69" s="63"/>
      <c r="X69" s="63"/>
      <c r="Y69" s="63"/>
      <c r="Z69" s="63"/>
    </row>
    <row r="70" spans="3:26" ht="15.75">
      <c r="C70" s="69"/>
      <c r="D70" s="97"/>
      <c r="E70" s="97"/>
      <c r="F70" s="97"/>
      <c r="G70" s="377">
        <f>D70*E70*F70</f>
        <v>0</v>
      </c>
      <c r="H70" s="375"/>
      <c r="I70" s="140">
        <f>H70*G70</f>
        <v>0</v>
      </c>
      <c r="J70" s="141"/>
      <c r="K70" s="142"/>
      <c r="L70" s="104"/>
      <c r="M70" s="97"/>
      <c r="N70" s="97"/>
      <c r="O70" s="97"/>
      <c r="P70" s="97"/>
      <c r="Q70" s="97"/>
      <c r="R70" s="97">
        <f>(L70*L$16)+(M70*M$16)+(N70*N$16)+(O70*O$16)+(P70*P$16*(D70+E70)*2)+(Q70*Q$16*(D70+E70)*2)</f>
        <v>0</v>
      </c>
      <c r="S70" s="98"/>
      <c r="T70" s="97"/>
      <c r="U70" s="99"/>
      <c r="V70" s="63"/>
      <c r="W70" s="63"/>
      <c r="X70" s="63"/>
      <c r="Y70" s="63"/>
      <c r="Z70" s="63"/>
    </row>
    <row r="71" spans="3:26" ht="15.75">
      <c r="C71" s="130"/>
      <c r="D71" s="131"/>
      <c r="E71" s="131"/>
      <c r="F71" s="334"/>
      <c r="G71" s="378"/>
      <c r="H71" s="131"/>
      <c r="I71" s="132"/>
      <c r="J71" s="133"/>
      <c r="K71" s="134"/>
      <c r="L71" s="135"/>
      <c r="M71" s="131"/>
      <c r="N71" s="131"/>
      <c r="O71" s="131"/>
      <c r="P71" s="131"/>
      <c r="Q71" s="131"/>
      <c r="R71" s="131"/>
      <c r="S71" s="136"/>
      <c r="T71" s="136"/>
      <c r="U71" s="146"/>
      <c r="V71" s="63"/>
      <c r="W71" s="63"/>
      <c r="X71" s="63"/>
      <c r="Y71" s="63"/>
      <c r="Z71" s="63"/>
    </row>
    <row r="72" spans="3:26" ht="15.75">
      <c r="C72" s="64"/>
      <c r="D72" s="147"/>
      <c r="E72" s="147"/>
      <c r="F72" s="379"/>
      <c r="G72" s="380"/>
      <c r="H72" s="147"/>
      <c r="I72" s="148"/>
      <c r="J72" s="149"/>
      <c r="K72" s="150"/>
      <c r="L72" s="151"/>
      <c r="M72" s="147"/>
      <c r="N72" s="147"/>
      <c r="O72" s="147"/>
      <c r="P72" s="147"/>
      <c r="Q72" s="147"/>
      <c r="R72" s="147"/>
      <c r="S72" s="145"/>
      <c r="T72" s="145"/>
      <c r="U72" s="109"/>
      <c r="V72" s="63"/>
      <c r="W72" s="63"/>
      <c r="X72" s="63"/>
      <c r="Y72" s="63"/>
      <c r="Z72" s="63"/>
    </row>
    <row r="73" spans="3:26" ht="15.75">
      <c r="C73" s="138" t="s">
        <v>800</v>
      </c>
      <c r="D73" s="97"/>
      <c r="E73" s="97"/>
      <c r="F73" s="143"/>
      <c r="G73" s="371"/>
      <c r="H73" s="97"/>
      <c r="I73" s="152"/>
      <c r="J73" s="141"/>
      <c r="K73" s="142"/>
      <c r="L73" s="104"/>
      <c r="M73" s="97"/>
      <c r="N73" s="97"/>
      <c r="O73" s="97"/>
      <c r="P73" s="97"/>
      <c r="Q73" s="97"/>
      <c r="R73" s="97"/>
      <c r="S73" s="98"/>
      <c r="T73" s="98"/>
      <c r="U73" s="109"/>
      <c r="V73" s="63"/>
      <c r="W73" s="63"/>
      <c r="X73" s="63"/>
      <c r="Y73" s="63"/>
      <c r="Z73" s="63"/>
    </row>
    <row r="74" spans="3:26" ht="15.75">
      <c r="C74" s="69" t="s">
        <v>219</v>
      </c>
      <c r="D74" s="97"/>
      <c r="E74" s="97"/>
      <c r="F74" s="143">
        <v>0.12</v>
      </c>
      <c r="G74" s="371">
        <f>D74*E74*F74</f>
        <v>0</v>
      </c>
      <c r="H74" s="375"/>
      <c r="I74" s="152">
        <f>G74*H74</f>
        <v>0</v>
      </c>
      <c r="J74" s="141">
        <f>SUM(I74:I76)</f>
        <v>0</v>
      </c>
      <c r="K74" s="142">
        <f>J74</f>
        <v>0</v>
      </c>
      <c r="L74" s="104"/>
      <c r="M74" s="97"/>
      <c r="N74" s="97"/>
      <c r="O74" s="97"/>
      <c r="P74" s="97"/>
      <c r="Q74" s="97">
        <f>100/15</f>
        <v>6.666666666666667</v>
      </c>
      <c r="R74" s="97">
        <f>P74*P$39+Q74*Q$39</f>
        <v>4.133333333333334</v>
      </c>
      <c r="S74" s="98"/>
      <c r="T74" s="98"/>
      <c r="U74" s="109"/>
      <c r="V74" s="63"/>
      <c r="W74" s="63"/>
      <c r="X74" s="63"/>
      <c r="Y74" s="63"/>
      <c r="Z74" s="63"/>
    </row>
    <row r="75" spans="3:26" ht="15.75">
      <c r="C75" s="69" t="s">
        <v>188</v>
      </c>
      <c r="D75" s="97"/>
      <c r="E75" s="97"/>
      <c r="F75" s="143">
        <v>0.12</v>
      </c>
      <c r="G75" s="371">
        <f>D75*E75*F75</f>
        <v>0</v>
      </c>
      <c r="H75" s="375"/>
      <c r="I75" s="152">
        <f>G75*H75</f>
        <v>0</v>
      </c>
      <c r="J75" s="141"/>
      <c r="K75" s="142"/>
      <c r="L75" s="104"/>
      <c r="M75" s="97"/>
      <c r="N75" s="97"/>
      <c r="O75" s="97"/>
      <c r="P75" s="97"/>
      <c r="Q75" s="97">
        <f>100/30*2</f>
        <v>6.666666666666667</v>
      </c>
      <c r="R75" s="97">
        <f>P75*P$39+Q75*Q$39</f>
        <v>4.133333333333334</v>
      </c>
      <c r="S75" s="98"/>
      <c r="T75" s="98"/>
      <c r="U75" s="109"/>
      <c r="V75" s="63"/>
      <c r="W75" s="63"/>
      <c r="X75" s="63"/>
      <c r="Y75" s="63"/>
      <c r="Z75" s="63"/>
    </row>
    <row r="76" spans="3:26" ht="15.75">
      <c r="C76" s="69" t="s">
        <v>189</v>
      </c>
      <c r="D76" s="97"/>
      <c r="E76" s="97"/>
      <c r="F76" s="143">
        <v>0.12</v>
      </c>
      <c r="G76" s="371">
        <f>D76*E76*F76</f>
        <v>0</v>
      </c>
      <c r="H76" s="375"/>
      <c r="I76" s="152">
        <f>G76*H76</f>
        <v>0</v>
      </c>
      <c r="J76" s="141"/>
      <c r="K76" s="142"/>
      <c r="L76" s="104"/>
      <c r="M76" s="97"/>
      <c r="N76" s="97"/>
      <c r="O76" s="97"/>
      <c r="P76" s="97"/>
      <c r="Q76" s="97">
        <f>100/30*2</f>
        <v>6.666666666666667</v>
      </c>
      <c r="R76" s="97">
        <f>P76*P$39+Q76*Q$39</f>
        <v>4.133333333333334</v>
      </c>
      <c r="S76" s="98">
        <f>SUM(R74:R76)/F76</f>
        <v>103.33333333333336</v>
      </c>
      <c r="T76" s="98">
        <f>0.75*S76</f>
        <v>77.50000000000001</v>
      </c>
      <c r="U76" s="109"/>
      <c r="V76" s="63"/>
      <c r="W76" s="63"/>
      <c r="X76" s="63"/>
      <c r="Y76" s="63"/>
      <c r="Z76" s="63"/>
    </row>
    <row r="77" spans="3:26" ht="15.75">
      <c r="C77" s="69"/>
      <c r="D77" s="97"/>
      <c r="E77" s="97"/>
      <c r="F77" s="143"/>
      <c r="G77" s="371"/>
      <c r="H77" s="375"/>
      <c r="I77" s="152"/>
      <c r="J77" s="141"/>
      <c r="K77" s="142"/>
      <c r="L77" s="104"/>
      <c r="M77" s="97"/>
      <c r="N77" s="97"/>
      <c r="O77" s="97"/>
      <c r="P77" s="97"/>
      <c r="Q77" s="97">
        <f>100/7.5</f>
        <v>13.333333333333334</v>
      </c>
      <c r="R77" s="97">
        <f>P77*P$39+Q77*Q$39</f>
        <v>8.266666666666667</v>
      </c>
      <c r="S77" s="98">
        <f>R77/F76</f>
        <v>68.8888888888889</v>
      </c>
      <c r="T77" s="98">
        <f>0.25*S77</f>
        <v>17.222222222222225</v>
      </c>
      <c r="U77" s="109"/>
      <c r="V77" s="63"/>
      <c r="W77" s="63"/>
      <c r="X77" s="63"/>
      <c r="Y77" s="63"/>
      <c r="Z77" s="63"/>
    </row>
    <row r="78" spans="3:26" ht="15.75">
      <c r="C78" s="138"/>
      <c r="D78" s="97"/>
      <c r="E78" s="97"/>
      <c r="F78" s="143"/>
      <c r="G78" s="371"/>
      <c r="H78" s="97"/>
      <c r="I78" s="152"/>
      <c r="J78" s="141"/>
      <c r="K78" s="142"/>
      <c r="L78" s="104"/>
      <c r="M78" s="97"/>
      <c r="N78" s="97"/>
      <c r="O78" s="97"/>
      <c r="P78" s="97"/>
      <c r="Q78" s="97"/>
      <c r="R78" s="97"/>
      <c r="S78" s="98"/>
      <c r="T78" s="147">
        <f>SUM(T76:T77)</f>
        <v>94.72222222222224</v>
      </c>
      <c r="U78" s="164">
        <f>ROUND(T78/5+0.5,0)*5</f>
        <v>95</v>
      </c>
      <c r="V78" s="63"/>
      <c r="W78" s="63"/>
      <c r="X78" s="63"/>
      <c r="Y78" s="63"/>
      <c r="Z78" s="63"/>
    </row>
    <row r="79" spans="3:26" ht="15.75">
      <c r="C79" s="88" t="s">
        <v>726</v>
      </c>
      <c r="D79" s="94"/>
      <c r="E79" s="94"/>
      <c r="F79" s="187"/>
      <c r="G79" s="188"/>
      <c r="H79" s="187"/>
      <c r="I79" s="187"/>
      <c r="J79" s="124"/>
      <c r="K79" s="439"/>
      <c r="L79" s="104"/>
      <c r="M79" s="97"/>
      <c r="N79" s="97"/>
      <c r="O79" s="97"/>
      <c r="P79" s="97"/>
      <c r="Q79" s="97"/>
      <c r="R79" s="97"/>
      <c r="S79" s="98"/>
      <c r="T79" s="98"/>
      <c r="U79" s="164"/>
      <c r="V79" s="63"/>
      <c r="W79" s="63"/>
      <c r="X79" s="63"/>
      <c r="Y79" s="63"/>
      <c r="Z79" s="63"/>
    </row>
    <row r="80" spans="3:26" ht="15.75">
      <c r="C80" s="105"/>
      <c r="D80" s="97">
        <v>2.7</v>
      </c>
      <c r="E80" s="97">
        <v>9.7</v>
      </c>
      <c r="F80" s="89">
        <v>0.1</v>
      </c>
      <c r="G80" s="190">
        <f aca="true" t="shared" si="3" ref="G80:G86">E80*D80*F80</f>
        <v>2.619</v>
      </c>
      <c r="H80" s="124">
        <v>1</v>
      </c>
      <c r="I80" s="187">
        <f aca="true" t="shared" si="4" ref="I80:I86">H80*G80</f>
        <v>2.619</v>
      </c>
      <c r="J80" s="124"/>
      <c r="K80" s="439"/>
      <c r="L80" s="104"/>
      <c r="M80" s="97"/>
      <c r="N80" s="97"/>
      <c r="O80" s="97"/>
      <c r="P80" s="97"/>
      <c r="Q80" s="97"/>
      <c r="R80" s="97"/>
      <c r="S80" s="98"/>
      <c r="T80" s="98"/>
      <c r="U80" s="164"/>
      <c r="V80" s="63"/>
      <c r="W80" s="63"/>
      <c r="X80" s="63"/>
      <c r="Y80" s="63"/>
      <c r="Z80" s="63"/>
    </row>
    <row r="81" spans="3:26" ht="15.75">
      <c r="C81" s="105"/>
      <c r="D81" s="97">
        <v>1.8</v>
      </c>
      <c r="E81" s="97">
        <v>6</v>
      </c>
      <c r="F81" s="89">
        <v>0.1</v>
      </c>
      <c r="G81" s="190">
        <f t="shared" si="3"/>
        <v>1.08</v>
      </c>
      <c r="H81" s="124">
        <v>1</v>
      </c>
      <c r="I81" s="187">
        <f t="shared" si="4"/>
        <v>1.08</v>
      </c>
      <c r="J81" s="518">
        <f>SUM(I80:I81)</f>
        <v>3.6990000000000003</v>
      </c>
      <c r="K81" s="439"/>
      <c r="L81" s="104"/>
      <c r="M81" s="97"/>
      <c r="N81" s="97"/>
      <c r="O81" s="97"/>
      <c r="P81" s="97"/>
      <c r="Q81" s="97"/>
      <c r="R81" s="97"/>
      <c r="S81" s="98"/>
      <c r="T81" s="98"/>
      <c r="U81" s="164"/>
      <c r="V81" s="63"/>
      <c r="W81" s="63"/>
      <c r="X81" s="63"/>
      <c r="Y81" s="63"/>
      <c r="Z81" s="63"/>
    </row>
    <row r="82" spans="3:26" ht="15.75">
      <c r="C82" s="105"/>
      <c r="D82" s="97">
        <v>1.8</v>
      </c>
      <c r="E82" s="97">
        <v>6.8</v>
      </c>
      <c r="F82" s="89">
        <v>0.1</v>
      </c>
      <c r="G82" s="190">
        <f t="shared" si="3"/>
        <v>1.2240000000000002</v>
      </c>
      <c r="H82" s="124">
        <v>2</v>
      </c>
      <c r="I82" s="187">
        <f t="shared" si="4"/>
        <v>2.4480000000000004</v>
      </c>
      <c r="J82" s="124"/>
      <c r="K82" s="439"/>
      <c r="L82" s="104"/>
      <c r="M82" s="97"/>
      <c r="N82" s="97"/>
      <c r="O82" s="97"/>
      <c r="P82" s="97"/>
      <c r="Q82" s="97"/>
      <c r="R82" s="97"/>
      <c r="S82" s="98"/>
      <c r="T82" s="98"/>
      <c r="U82" s="164"/>
      <c r="V82" s="63"/>
      <c r="W82" s="63"/>
      <c r="X82" s="63"/>
      <c r="Y82" s="63"/>
      <c r="Z82" s="63"/>
    </row>
    <row r="83" spans="3:26" ht="15.75">
      <c r="C83" s="105"/>
      <c r="D83" s="97">
        <v>1.2</v>
      </c>
      <c r="E83" s="97">
        <f>(4.5+6)/2</f>
        <v>5.25</v>
      </c>
      <c r="F83" s="89">
        <v>0.1</v>
      </c>
      <c r="G83" s="190">
        <f t="shared" si="3"/>
        <v>0.63</v>
      </c>
      <c r="H83" s="124">
        <v>2</v>
      </c>
      <c r="I83" s="187">
        <f t="shared" si="4"/>
        <v>1.26</v>
      </c>
      <c r="J83" s="518">
        <f>SUM(I82:I83)</f>
        <v>3.708</v>
      </c>
      <c r="K83" s="439"/>
      <c r="L83" s="104"/>
      <c r="M83" s="97"/>
      <c r="N83" s="97"/>
      <c r="O83" s="97"/>
      <c r="P83" s="97"/>
      <c r="Q83" s="97"/>
      <c r="R83" s="97"/>
      <c r="S83" s="98"/>
      <c r="T83" s="98"/>
      <c r="U83" s="164"/>
      <c r="V83" s="63"/>
      <c r="W83" s="63"/>
      <c r="X83" s="63"/>
      <c r="Y83" s="63"/>
      <c r="Z83" s="63"/>
    </row>
    <row r="84" spans="3:26" ht="15.75">
      <c r="C84" s="105"/>
      <c r="D84" s="97">
        <v>2</v>
      </c>
      <c r="E84" s="97">
        <v>5.6</v>
      </c>
      <c r="F84" s="89">
        <v>0.1</v>
      </c>
      <c r="G84" s="190">
        <f t="shared" si="3"/>
        <v>1.1199999999999999</v>
      </c>
      <c r="H84" s="124">
        <v>1</v>
      </c>
      <c r="I84" s="187">
        <f t="shared" si="4"/>
        <v>1.1199999999999999</v>
      </c>
      <c r="J84" s="124"/>
      <c r="K84" s="439"/>
      <c r="L84" s="104"/>
      <c r="M84" s="97"/>
      <c r="N84" s="97"/>
      <c r="O84" s="97"/>
      <c r="P84" s="97"/>
      <c r="Q84" s="97"/>
      <c r="R84" s="97"/>
      <c r="S84" s="98"/>
      <c r="T84" s="98"/>
      <c r="U84" s="164"/>
      <c r="V84" s="63"/>
      <c r="W84" s="63"/>
      <c r="X84" s="63"/>
      <c r="Y84" s="63"/>
      <c r="Z84" s="63"/>
    </row>
    <row r="85" spans="3:26" ht="15.75">
      <c r="C85" s="105"/>
      <c r="D85" s="97">
        <v>1.5</v>
      </c>
      <c r="E85" s="97">
        <v>3.5</v>
      </c>
      <c r="F85" s="89">
        <v>0.1</v>
      </c>
      <c r="G85" s="190">
        <f t="shared" si="3"/>
        <v>0.525</v>
      </c>
      <c r="H85" s="124">
        <v>1</v>
      </c>
      <c r="I85" s="187">
        <f t="shared" si="4"/>
        <v>0.525</v>
      </c>
      <c r="J85" s="518">
        <f>SUM(I84:I85)</f>
        <v>1.645</v>
      </c>
      <c r="K85" s="439"/>
      <c r="L85" s="104"/>
      <c r="M85" s="97"/>
      <c r="N85" s="97"/>
      <c r="O85" s="97"/>
      <c r="P85" s="97"/>
      <c r="Q85" s="97"/>
      <c r="R85" s="97"/>
      <c r="S85" s="98"/>
      <c r="T85" s="98"/>
      <c r="U85" s="164"/>
      <c r="V85" s="63"/>
      <c r="W85" s="63"/>
      <c r="X85" s="63"/>
      <c r="Y85" s="63"/>
      <c r="Z85" s="63"/>
    </row>
    <row r="86" spans="3:26" ht="15.75">
      <c r="C86" s="105"/>
      <c r="D86" s="97">
        <v>2</v>
      </c>
      <c r="E86" s="97">
        <v>2.8</v>
      </c>
      <c r="F86" s="89">
        <v>0.1</v>
      </c>
      <c r="G86" s="190">
        <f t="shared" si="3"/>
        <v>0.5599999999999999</v>
      </c>
      <c r="H86" s="124">
        <v>1</v>
      </c>
      <c r="I86" s="187">
        <f t="shared" si="4"/>
        <v>0.5599999999999999</v>
      </c>
      <c r="J86" s="518">
        <f>I86</f>
        <v>0.5599999999999999</v>
      </c>
      <c r="K86" s="439">
        <f>SUM(J80:J86)</f>
        <v>9.612</v>
      </c>
      <c r="L86" s="104"/>
      <c r="M86" s="97"/>
      <c r="N86" s="97"/>
      <c r="O86" s="97"/>
      <c r="P86" s="97"/>
      <c r="Q86" s="97"/>
      <c r="R86" s="97"/>
      <c r="S86" s="98"/>
      <c r="T86" s="98"/>
      <c r="U86" s="164"/>
      <c r="V86" s="63"/>
      <c r="W86" s="63"/>
      <c r="X86" s="63"/>
      <c r="Y86" s="63"/>
      <c r="Z86" s="63"/>
    </row>
    <row r="87" spans="3:26" ht="15.75">
      <c r="C87" s="138"/>
      <c r="D87" s="97"/>
      <c r="E87" s="97"/>
      <c r="F87" s="143"/>
      <c r="G87" s="371"/>
      <c r="H87" s="97"/>
      <c r="I87" s="152"/>
      <c r="J87" s="141"/>
      <c r="K87" s="142"/>
      <c r="L87" s="104"/>
      <c r="M87" s="97"/>
      <c r="N87" s="97"/>
      <c r="O87" s="97"/>
      <c r="P87" s="97"/>
      <c r="Q87" s="97"/>
      <c r="R87" s="97"/>
      <c r="S87" s="98"/>
      <c r="T87" s="98"/>
      <c r="U87" s="164"/>
      <c r="V87" s="63"/>
      <c r="W87" s="63"/>
      <c r="X87" s="63"/>
      <c r="Y87" s="63"/>
      <c r="Z87" s="63"/>
    </row>
    <row r="88" spans="3:26" ht="15.75">
      <c r="C88" s="385" t="s">
        <v>731</v>
      </c>
      <c r="D88" s="97"/>
      <c r="E88" s="97"/>
      <c r="F88" s="89"/>
      <c r="G88" s="190"/>
      <c r="H88" s="124"/>
      <c r="I88" s="187"/>
      <c r="J88" s="518"/>
      <c r="K88" s="439"/>
      <c r="L88" s="104"/>
      <c r="M88" s="97"/>
      <c r="N88" s="97"/>
      <c r="O88" s="97"/>
      <c r="P88" s="97"/>
      <c r="Q88" s="97"/>
      <c r="R88" s="97"/>
      <c r="S88" s="98"/>
      <c r="T88" s="98"/>
      <c r="U88" s="164"/>
      <c r="V88" s="63"/>
      <c r="W88" s="63"/>
      <c r="X88" s="63"/>
      <c r="Y88" s="63"/>
      <c r="Z88" s="63"/>
    </row>
    <row r="89" spans="3:26" ht="15.75">
      <c r="C89" s="105"/>
      <c r="D89" s="97">
        <v>1</v>
      </c>
      <c r="E89" s="97">
        <v>1.78</v>
      </c>
      <c r="F89" s="89">
        <v>0.08</v>
      </c>
      <c r="G89" s="190">
        <f>E89*D89*F89</f>
        <v>0.1424</v>
      </c>
      <c r="H89" s="124">
        <v>7</v>
      </c>
      <c r="I89" s="187">
        <f>H89*G89</f>
        <v>0.9968</v>
      </c>
      <c r="J89" s="124"/>
      <c r="K89" s="439"/>
      <c r="L89" s="104"/>
      <c r="M89" s="97"/>
      <c r="N89" s="97"/>
      <c r="O89" s="97"/>
      <c r="P89" s="97"/>
      <c r="Q89" s="97"/>
      <c r="R89" s="97"/>
      <c r="S89" s="98"/>
      <c r="T89" s="98"/>
      <c r="U89" s="164"/>
      <c r="V89" s="63"/>
      <c r="W89" s="63"/>
      <c r="X89" s="63"/>
      <c r="Y89" s="63"/>
      <c r="Z89" s="63"/>
    </row>
    <row r="90" spans="3:26" ht="15.75">
      <c r="C90" s="105"/>
      <c r="D90" s="97">
        <v>1</v>
      </c>
      <c r="E90" s="97">
        <v>2.31</v>
      </c>
      <c r="F90" s="89">
        <v>0.08</v>
      </c>
      <c r="G90" s="190">
        <f>E90*D90*F90</f>
        <v>0.18480000000000002</v>
      </c>
      <c r="H90" s="124">
        <v>2</v>
      </c>
      <c r="I90" s="187">
        <f>H90*G90</f>
        <v>0.36960000000000004</v>
      </c>
      <c r="J90" s="124"/>
      <c r="K90" s="439"/>
      <c r="L90" s="104"/>
      <c r="M90" s="97"/>
      <c r="N90" s="97"/>
      <c r="O90" s="97"/>
      <c r="P90" s="97"/>
      <c r="Q90" s="97"/>
      <c r="R90" s="97"/>
      <c r="S90" s="98"/>
      <c r="T90" s="98"/>
      <c r="U90" s="164"/>
      <c r="V90" s="63"/>
      <c r="W90" s="63"/>
      <c r="X90" s="63"/>
      <c r="Y90" s="63"/>
      <c r="Z90" s="63"/>
    </row>
    <row r="91" spans="3:26" ht="15.75">
      <c r="C91" s="105"/>
      <c r="D91" s="97">
        <v>1</v>
      </c>
      <c r="E91" s="97">
        <v>2.5</v>
      </c>
      <c r="F91" s="89">
        <v>0.08</v>
      </c>
      <c r="G91" s="190">
        <f>E91*D91*F91</f>
        <v>0.2</v>
      </c>
      <c r="H91" s="124">
        <v>1</v>
      </c>
      <c r="I91" s="187">
        <f>H91*G91</f>
        <v>0.2</v>
      </c>
      <c r="J91" s="124"/>
      <c r="K91" s="439"/>
      <c r="L91" s="104"/>
      <c r="M91" s="97"/>
      <c r="N91" s="97"/>
      <c r="O91" s="97"/>
      <c r="P91" s="97"/>
      <c r="Q91" s="97"/>
      <c r="R91" s="97"/>
      <c r="S91" s="98"/>
      <c r="T91" s="98"/>
      <c r="U91" s="164"/>
      <c r="V91" s="63"/>
      <c r="W91" s="63"/>
      <c r="X91" s="63"/>
      <c r="Y91" s="63"/>
      <c r="Z91" s="63"/>
    </row>
    <row r="92" spans="3:26" ht="15.75">
      <c r="C92" s="105"/>
      <c r="D92" s="97">
        <v>1</v>
      </c>
      <c r="E92" s="97">
        <v>4.2</v>
      </c>
      <c r="F92" s="89">
        <v>0.08</v>
      </c>
      <c r="G92" s="190">
        <f>E92*D92*F92</f>
        <v>0.336</v>
      </c>
      <c r="H92" s="124">
        <v>1</v>
      </c>
      <c r="I92" s="187">
        <f>H92*G92</f>
        <v>0.336</v>
      </c>
      <c r="J92" s="518">
        <f>SUM(I89:I92)</f>
        <v>1.9024</v>
      </c>
      <c r="K92" s="439">
        <f>J92</f>
        <v>1.9024</v>
      </c>
      <c r="L92" s="104"/>
      <c r="M92" s="97"/>
      <c r="N92" s="97"/>
      <c r="O92" s="97"/>
      <c r="P92" s="97"/>
      <c r="Q92" s="97"/>
      <c r="R92" s="97"/>
      <c r="S92" s="98"/>
      <c r="T92" s="98"/>
      <c r="U92" s="164"/>
      <c r="V92" s="63"/>
      <c r="W92" s="63"/>
      <c r="X92" s="63"/>
      <c r="Y92" s="63"/>
      <c r="Z92" s="63"/>
    </row>
    <row r="93" spans="3:26" ht="15.75">
      <c r="C93" s="69"/>
      <c r="D93" s="97"/>
      <c r="E93" s="97"/>
      <c r="F93" s="143"/>
      <c r="G93" s="377"/>
      <c r="H93" s="97"/>
      <c r="I93" s="140"/>
      <c r="J93" s="141"/>
      <c r="K93" s="394">
        <f>SUM(K74:K78)</f>
        <v>0</v>
      </c>
      <c r="L93" s="104"/>
      <c r="M93" s="97"/>
      <c r="N93" s="97"/>
      <c r="O93" s="97"/>
      <c r="P93" s="97"/>
      <c r="Q93" s="97"/>
      <c r="R93" s="97"/>
      <c r="S93" s="98"/>
      <c r="T93" s="98"/>
      <c r="U93" s="85"/>
      <c r="V93" s="63"/>
      <c r="W93" s="63"/>
      <c r="X93" s="63"/>
      <c r="Y93" s="63"/>
      <c r="Z93" s="63"/>
    </row>
    <row r="94" spans="3:26" ht="15.75">
      <c r="C94" s="226" t="s">
        <v>435</v>
      </c>
      <c r="D94" s="143"/>
      <c r="E94" s="143"/>
      <c r="F94" s="143"/>
      <c r="G94" s="377"/>
      <c r="H94" s="97"/>
      <c r="I94" s="140"/>
      <c r="J94" s="141"/>
      <c r="K94" s="142"/>
      <c r="L94" s="104"/>
      <c r="M94" s="97"/>
      <c r="N94" s="97"/>
      <c r="O94" s="97"/>
      <c r="P94" s="97"/>
      <c r="Q94" s="97"/>
      <c r="R94" s="97"/>
      <c r="S94" s="98"/>
      <c r="T94" s="98"/>
      <c r="U94" s="85"/>
      <c r="V94" s="63"/>
      <c r="W94" s="63"/>
      <c r="X94" s="63"/>
      <c r="Y94" s="63"/>
      <c r="Z94" s="63"/>
    </row>
    <row r="95" spans="3:26" ht="15.75">
      <c r="C95" s="249"/>
      <c r="D95" s="143"/>
      <c r="E95" s="143"/>
      <c r="F95" s="143">
        <v>3.3</v>
      </c>
      <c r="G95" s="94">
        <f>D95*E95*F95</f>
        <v>0</v>
      </c>
      <c r="H95" s="375"/>
      <c r="I95" s="95">
        <f>H95*G95</f>
        <v>0</v>
      </c>
      <c r="J95" s="141">
        <f>SUM(I95:I96)</f>
        <v>0</v>
      </c>
      <c r="K95" s="142"/>
      <c r="L95" s="104"/>
      <c r="M95" s="97"/>
      <c r="N95" s="97"/>
      <c r="O95" s="97"/>
      <c r="P95" s="97"/>
      <c r="Q95" s="97"/>
      <c r="R95" s="97"/>
      <c r="S95" s="98"/>
      <c r="T95" s="98"/>
      <c r="U95" s="85"/>
      <c r="V95" s="63"/>
      <c r="W95" s="63"/>
      <c r="X95" s="63"/>
      <c r="Y95" s="63"/>
      <c r="Z95" s="63"/>
    </row>
    <row r="96" spans="3:26" ht="15.75">
      <c r="C96" s="249"/>
      <c r="D96" s="143"/>
      <c r="E96" s="143"/>
      <c r="F96" s="143">
        <f>F95*1.4142</f>
        <v>4.66686</v>
      </c>
      <c r="G96" s="94">
        <f>D96*E96*F96</f>
        <v>0</v>
      </c>
      <c r="H96" s="375"/>
      <c r="I96" s="95">
        <f>H96*G96</f>
        <v>0</v>
      </c>
      <c r="J96" s="141"/>
      <c r="K96" s="142"/>
      <c r="L96" s="104"/>
      <c r="M96" s="97"/>
      <c r="N96" s="97"/>
      <c r="O96" s="97"/>
      <c r="P96" s="97"/>
      <c r="Q96" s="97"/>
      <c r="R96" s="97"/>
      <c r="S96" s="98"/>
      <c r="T96" s="98"/>
      <c r="U96" s="85"/>
      <c r="V96" s="63"/>
      <c r="W96" s="63"/>
      <c r="X96" s="63"/>
      <c r="Y96" s="63"/>
      <c r="Z96" s="63"/>
    </row>
    <row r="97" spans="3:26" ht="15.75">
      <c r="C97" s="249"/>
      <c r="D97" s="143"/>
      <c r="E97" s="143"/>
      <c r="F97" s="143"/>
      <c r="G97" s="94"/>
      <c r="H97" s="375"/>
      <c r="I97" s="95"/>
      <c r="J97" s="141"/>
      <c r="K97" s="142"/>
      <c r="L97" s="104"/>
      <c r="M97" s="97"/>
      <c r="N97" s="97"/>
      <c r="O97" s="97"/>
      <c r="P97" s="97"/>
      <c r="Q97" s="97"/>
      <c r="R97" s="97"/>
      <c r="S97" s="98"/>
      <c r="T97" s="98"/>
      <c r="U97" s="85"/>
      <c r="V97" s="63"/>
      <c r="W97" s="63"/>
      <c r="X97" s="63"/>
      <c r="Y97" s="63"/>
      <c r="Z97" s="63"/>
    </row>
    <row r="98" spans="3:26" ht="15.75">
      <c r="C98" s="249"/>
      <c r="D98" s="143"/>
      <c r="E98" s="143"/>
      <c r="F98" s="143"/>
      <c r="G98" s="94"/>
      <c r="H98" s="375"/>
      <c r="I98" s="95"/>
      <c r="J98" s="141"/>
      <c r="K98" s="142"/>
      <c r="L98" s="104"/>
      <c r="M98" s="97"/>
      <c r="N98" s="97"/>
      <c r="O98" s="97"/>
      <c r="P98" s="97"/>
      <c r="Q98" s="97"/>
      <c r="R98" s="97"/>
      <c r="S98" s="98"/>
      <c r="T98" s="98"/>
      <c r="U98" s="85"/>
      <c r="V98" s="63"/>
      <c r="W98" s="63"/>
      <c r="X98" s="63"/>
      <c r="Y98" s="63"/>
      <c r="Z98" s="63"/>
    </row>
    <row r="99" spans="3:26" ht="15.75">
      <c r="C99" s="249"/>
      <c r="D99" s="143"/>
      <c r="E99" s="143"/>
      <c r="F99" s="143"/>
      <c r="G99" s="94"/>
      <c r="H99" s="375"/>
      <c r="I99" s="95"/>
      <c r="J99" s="141"/>
      <c r="K99" s="142"/>
      <c r="L99" s="104"/>
      <c r="M99" s="97"/>
      <c r="N99" s="97"/>
      <c r="O99" s="97"/>
      <c r="P99" s="97"/>
      <c r="Q99" s="97"/>
      <c r="R99" s="97"/>
      <c r="S99" s="98"/>
      <c r="T99" s="98"/>
      <c r="U99" s="85"/>
      <c r="V99" s="63"/>
      <c r="W99" s="63"/>
      <c r="X99" s="63"/>
      <c r="Y99" s="63"/>
      <c r="Z99" s="63"/>
    </row>
    <row r="100" spans="3:26" ht="15.75">
      <c r="C100" s="249"/>
      <c r="D100" s="143"/>
      <c r="E100" s="143"/>
      <c r="F100" s="143"/>
      <c r="G100" s="94"/>
      <c r="H100" s="375"/>
      <c r="I100" s="95"/>
      <c r="J100" s="141"/>
      <c r="K100" s="142"/>
      <c r="L100" s="104"/>
      <c r="M100" s="97"/>
      <c r="N100" s="97"/>
      <c r="O100" s="97"/>
      <c r="P100" s="97"/>
      <c r="Q100" s="97"/>
      <c r="R100" s="97"/>
      <c r="S100" s="98"/>
      <c r="T100" s="98"/>
      <c r="U100" s="85"/>
      <c r="V100" s="63"/>
      <c r="W100" s="63"/>
      <c r="X100" s="63"/>
      <c r="Y100" s="63"/>
      <c r="Z100" s="63"/>
    </row>
    <row r="101" spans="3:26" ht="16.5" thickBot="1">
      <c r="C101" s="154"/>
      <c r="D101" s="155"/>
      <c r="E101" s="155"/>
      <c r="F101" s="155"/>
      <c r="G101" s="381"/>
      <c r="H101" s="155"/>
      <c r="I101" s="157"/>
      <c r="J101" s="158"/>
      <c r="K101" s="116"/>
      <c r="L101" s="159"/>
      <c r="M101" s="155"/>
      <c r="N101" s="155"/>
      <c r="O101" s="155"/>
      <c r="P101" s="155"/>
      <c r="Q101" s="155"/>
      <c r="R101" s="155"/>
      <c r="S101" s="156"/>
      <c r="T101" s="156"/>
      <c r="U101" s="117"/>
      <c r="V101" s="63"/>
      <c r="W101" s="63"/>
      <c r="X101" s="63"/>
      <c r="Y101" s="63"/>
      <c r="Z101" s="63"/>
    </row>
    <row r="102" ht="16.5" thickTop="1"/>
    <row r="103" ht="16.5" thickBot="1"/>
    <row r="104" spans="3:21" ht="16.5" thickTop="1">
      <c r="C104" s="125"/>
      <c r="D104" s="1067" t="s">
        <v>319</v>
      </c>
      <c r="E104" s="1068"/>
      <c r="F104" s="1068"/>
      <c r="G104" s="1069" t="s">
        <v>272</v>
      </c>
      <c r="H104" s="1068"/>
      <c r="I104" s="1068"/>
      <c r="J104" s="1068"/>
      <c r="K104" s="73"/>
      <c r="L104" s="1069" t="s">
        <v>320</v>
      </c>
      <c r="M104" s="1068"/>
      <c r="N104" s="1068"/>
      <c r="O104" s="1068"/>
      <c r="P104" s="1081"/>
      <c r="Q104" s="160" t="s">
        <v>341</v>
      </c>
      <c r="R104" s="161"/>
      <c r="S104" s="1067" t="s">
        <v>322</v>
      </c>
      <c r="T104" s="1068"/>
      <c r="U104" s="1083"/>
    </row>
    <row r="105" spans="3:21" ht="15.75">
      <c r="C105" s="67" t="s">
        <v>323</v>
      </c>
      <c r="D105" s="68" t="s">
        <v>188</v>
      </c>
      <c r="E105" s="68" t="s">
        <v>324</v>
      </c>
      <c r="F105" s="52" t="s">
        <v>325</v>
      </c>
      <c r="G105" s="69" t="s">
        <v>326</v>
      </c>
      <c r="H105" s="68" t="s">
        <v>327</v>
      </c>
      <c r="I105" s="52"/>
      <c r="J105" s="1055" t="s">
        <v>328</v>
      </c>
      <c r="K105" s="1056"/>
      <c r="L105" s="68" t="s">
        <v>329</v>
      </c>
      <c r="M105" s="68" t="s">
        <v>434</v>
      </c>
      <c r="N105" s="68" t="s">
        <v>330</v>
      </c>
      <c r="O105" s="68" t="s">
        <v>331</v>
      </c>
      <c r="P105" s="68" t="s">
        <v>332</v>
      </c>
      <c r="Q105" s="68"/>
      <c r="R105" s="68" t="s">
        <v>439</v>
      </c>
      <c r="S105" s="68"/>
      <c r="T105" s="66" t="s">
        <v>333</v>
      </c>
      <c r="U105" s="85" t="s">
        <v>226</v>
      </c>
    </row>
    <row r="106" spans="3:21" ht="16.5" thickBot="1">
      <c r="C106" s="72"/>
      <c r="D106" s="74" t="s">
        <v>335</v>
      </c>
      <c r="E106" s="74" t="s">
        <v>335</v>
      </c>
      <c r="F106" s="76" t="s">
        <v>335</v>
      </c>
      <c r="G106" s="77">
        <v>1</v>
      </c>
      <c r="H106" s="74"/>
      <c r="I106" s="76" t="s">
        <v>153</v>
      </c>
      <c r="J106" s="162" t="s">
        <v>342</v>
      </c>
      <c r="K106" s="163"/>
      <c r="L106" s="74">
        <v>1.578</v>
      </c>
      <c r="M106" s="74">
        <v>2.222</v>
      </c>
      <c r="N106" s="74">
        <v>0.887</v>
      </c>
      <c r="O106" s="74">
        <v>0.62</v>
      </c>
      <c r="P106" s="74">
        <v>0.393</v>
      </c>
      <c r="Q106" s="74" t="s">
        <v>343</v>
      </c>
      <c r="R106" s="76" t="s">
        <v>148</v>
      </c>
      <c r="S106" s="76"/>
      <c r="T106" s="76" t="s">
        <v>334</v>
      </c>
      <c r="U106" s="117" t="s">
        <v>227</v>
      </c>
    </row>
    <row r="107" spans="3:21" ht="16.5" thickTop="1">
      <c r="C107" s="100"/>
      <c r="D107" s="68"/>
      <c r="E107" s="68"/>
      <c r="F107" s="161"/>
      <c r="G107" s="161"/>
      <c r="H107" s="68"/>
      <c r="I107" s="52"/>
      <c r="J107" s="52"/>
      <c r="K107" s="164"/>
      <c r="L107" s="53"/>
      <c r="M107" s="68"/>
      <c r="N107" s="68"/>
      <c r="O107" s="68"/>
      <c r="P107" s="68"/>
      <c r="Q107" s="68"/>
      <c r="R107" s="68"/>
      <c r="S107" s="52"/>
      <c r="T107" s="52"/>
      <c r="U107" s="85"/>
    </row>
    <row r="108" spans="2:21" ht="15.75">
      <c r="B108" s="435"/>
      <c r="C108" s="212" t="s">
        <v>436</v>
      </c>
      <c r="D108" s="228"/>
      <c r="E108" s="68"/>
      <c r="F108" s="68"/>
      <c r="G108" s="68"/>
      <c r="H108" s="68"/>
      <c r="I108" s="52"/>
      <c r="J108" s="52"/>
      <c r="K108" s="164"/>
      <c r="L108" s="53"/>
      <c r="M108" s="68"/>
      <c r="N108" s="68"/>
      <c r="O108" s="68"/>
      <c r="P108" s="68"/>
      <c r="Q108" s="68"/>
      <c r="R108" s="68"/>
      <c r="S108" s="52"/>
      <c r="T108" s="52"/>
      <c r="U108" s="85"/>
    </row>
    <row r="109" spans="3:21" ht="15.75">
      <c r="C109" s="306" t="s">
        <v>471</v>
      </c>
      <c r="D109" s="228"/>
      <c r="E109" s="68"/>
      <c r="F109" s="68"/>
      <c r="G109" s="68"/>
      <c r="H109" s="68">
        <v>1</v>
      </c>
      <c r="I109" s="52"/>
      <c r="J109" s="52"/>
      <c r="K109" s="164"/>
      <c r="L109" s="53"/>
      <c r="M109" s="68"/>
      <c r="N109" s="68"/>
      <c r="O109" s="68"/>
      <c r="P109" s="68"/>
      <c r="Q109" s="68"/>
      <c r="R109" s="68"/>
      <c r="S109" s="52"/>
      <c r="T109" s="52"/>
      <c r="U109" s="85"/>
    </row>
    <row r="110" spans="3:21" ht="15.75">
      <c r="C110" s="249"/>
      <c r="D110" s="415">
        <f>D25*E25</f>
        <v>0</v>
      </c>
      <c r="E110" s="415">
        <f>D111*E111</f>
        <v>3.24</v>
      </c>
      <c r="F110" s="415">
        <v>0.1</v>
      </c>
      <c r="G110" s="153">
        <f>(D110+E110)/2*F110</f>
        <v>0.16200000000000003</v>
      </c>
      <c r="H110" s="97"/>
      <c r="I110" s="140"/>
      <c r="J110" s="141"/>
      <c r="K110" s="164"/>
      <c r="L110" s="53"/>
      <c r="M110" s="68"/>
      <c r="N110" s="68">
        <v>15</v>
      </c>
      <c r="O110" s="68"/>
      <c r="P110" s="68">
        <v>15</v>
      </c>
      <c r="Q110" s="165">
        <f>D111+F111*2</f>
        <v>2.2</v>
      </c>
      <c r="R110" s="167">
        <f>(Q110*L110*L$106)+(Q110*M110*M$106)+(Q110*N110*N$106)+(Q110*O110*O$106)+(Q110*P110*P$106)</f>
        <v>42.24</v>
      </c>
      <c r="S110" s="52"/>
      <c r="T110" s="52"/>
      <c r="U110" s="85"/>
    </row>
    <row r="111" spans="3:21" ht="15.75">
      <c r="C111" s="437"/>
      <c r="D111" s="415">
        <v>1.8</v>
      </c>
      <c r="E111" s="415">
        <v>1.8</v>
      </c>
      <c r="F111" s="415">
        <v>0.2</v>
      </c>
      <c r="G111" s="153">
        <f>D111*E111*F111</f>
        <v>0.6480000000000001</v>
      </c>
      <c r="H111" s="97"/>
      <c r="I111" s="140"/>
      <c r="J111" s="141"/>
      <c r="K111" s="164"/>
      <c r="L111" s="53"/>
      <c r="M111" s="68"/>
      <c r="N111" s="68">
        <v>15</v>
      </c>
      <c r="O111" s="68"/>
      <c r="P111" s="68">
        <v>15</v>
      </c>
      <c r="Q111" s="165">
        <f>E111+F111*2</f>
        <v>2.2</v>
      </c>
      <c r="R111" s="167">
        <f>(Q111*L111*L$106)+(Q111*M111*M$106)+(Q111*N111*N$106)+(Q111*O111*O$106)+(Q111*P111*P$106)</f>
        <v>42.24</v>
      </c>
      <c r="S111" s="169"/>
      <c r="T111" s="52"/>
      <c r="U111" s="85"/>
    </row>
    <row r="112" spans="3:21" ht="15.75">
      <c r="C112" s="438"/>
      <c r="D112" s="415"/>
      <c r="E112" s="415"/>
      <c r="F112" s="415">
        <v>0.2</v>
      </c>
      <c r="G112" s="153">
        <f>D112*E112*F112</f>
        <v>0</v>
      </c>
      <c r="H112" s="97"/>
      <c r="I112" s="140"/>
      <c r="J112" s="141"/>
      <c r="K112" s="164"/>
      <c r="L112" s="53">
        <v>10</v>
      </c>
      <c r="M112" s="68"/>
      <c r="N112" s="68"/>
      <c r="O112" s="68"/>
      <c r="P112" s="68"/>
      <c r="Q112" s="415">
        <f>F111+F110+0.5</f>
        <v>0.8</v>
      </c>
      <c r="R112" s="167">
        <f>(0.2+0.6)*2*P112*P$106+(L112*L$106*Q112)</f>
        <v>12.624000000000002</v>
      </c>
      <c r="S112" s="169"/>
      <c r="T112" s="52"/>
      <c r="U112" s="85"/>
    </row>
    <row r="113" spans="3:21" ht="15.75">
      <c r="C113" s="437"/>
      <c r="D113" s="415"/>
      <c r="E113" s="415"/>
      <c r="F113" s="415"/>
      <c r="G113" s="382">
        <f>SUM(G110:G112)</f>
        <v>0.8100000000000002</v>
      </c>
      <c r="H113" s="97"/>
      <c r="I113" s="140"/>
      <c r="J113" s="141">
        <f>G113*H109</f>
        <v>0.8100000000000002</v>
      </c>
      <c r="K113" s="164"/>
      <c r="L113" s="53"/>
      <c r="M113" s="68"/>
      <c r="N113" s="68"/>
      <c r="O113" s="68"/>
      <c r="P113" s="68"/>
      <c r="Q113" s="415"/>
      <c r="R113" s="167">
        <f>(Q113*L113*L$106)+(Q113*M113*M$106)+(Q113*N113*N$106)+(Q113*O113*O$106)+(Q113*P113*P$106)</f>
        <v>0</v>
      </c>
      <c r="S113" s="52"/>
      <c r="T113" s="52"/>
      <c r="U113" s="85"/>
    </row>
    <row r="114" spans="3:21" ht="15.75">
      <c r="C114" s="437"/>
      <c r="D114" s="415"/>
      <c r="E114" s="415"/>
      <c r="F114" s="415"/>
      <c r="G114" s="153"/>
      <c r="H114" s="97"/>
      <c r="I114" s="140"/>
      <c r="J114" s="141"/>
      <c r="K114" s="164"/>
      <c r="L114" s="53"/>
      <c r="M114" s="68"/>
      <c r="N114" s="68"/>
      <c r="O114" s="68"/>
      <c r="P114" s="68"/>
      <c r="Q114" s="415"/>
      <c r="R114" s="167">
        <f>(Q114*L114*L$106)+(Q114*M114*M$106)+(Q114*N114*N$106)+(Q114*O114*O$106)+(Q114*P114*P$106)</f>
        <v>0</v>
      </c>
      <c r="S114" s="169">
        <f>SUM(R110:R114)</f>
        <v>97.10400000000001</v>
      </c>
      <c r="T114" s="52">
        <f>S114/G113</f>
        <v>119.88148148148147</v>
      </c>
      <c r="U114" s="164">
        <f>ROUND(T114/5+0.5,0)*5</f>
        <v>120</v>
      </c>
    </row>
    <row r="115" spans="3:21" ht="15.75">
      <c r="C115" s="437" t="s">
        <v>437</v>
      </c>
      <c r="D115" s="415">
        <f>D111+0.1</f>
        <v>1.9000000000000001</v>
      </c>
      <c r="E115" s="415">
        <f>E111+0.1</f>
        <v>1.9000000000000001</v>
      </c>
      <c r="F115" s="415">
        <v>0.05</v>
      </c>
      <c r="G115" s="153">
        <f>D115*E115*F115</f>
        <v>0.18050000000000002</v>
      </c>
      <c r="H115" s="97"/>
      <c r="I115" s="140"/>
      <c r="J115" s="141">
        <f>G115*H109</f>
        <v>0.18050000000000002</v>
      </c>
      <c r="K115" s="164"/>
      <c r="L115" s="53"/>
      <c r="M115" s="68"/>
      <c r="N115" s="68"/>
      <c r="O115" s="68"/>
      <c r="P115" s="68"/>
      <c r="Q115" s="165"/>
      <c r="R115" s="167"/>
      <c r="S115" s="52"/>
      <c r="T115" s="52"/>
      <c r="U115" s="85"/>
    </row>
    <row r="116" spans="3:21" ht="15.75">
      <c r="C116" s="437" t="s">
        <v>438</v>
      </c>
      <c r="D116" s="415">
        <f>D111+0.1</f>
        <v>1.9000000000000001</v>
      </c>
      <c r="E116" s="415">
        <f>E111+0.1</f>
        <v>1.9000000000000001</v>
      </c>
      <c r="F116" s="415">
        <v>0.2</v>
      </c>
      <c r="G116" s="153">
        <f>D116*E116*F116</f>
        <v>0.7220000000000001</v>
      </c>
      <c r="H116" s="97"/>
      <c r="I116" s="152"/>
      <c r="J116" s="152">
        <f>G116*H109</f>
        <v>0.7220000000000001</v>
      </c>
      <c r="K116" s="168"/>
      <c r="L116" s="53"/>
      <c r="M116" s="68"/>
      <c r="N116" s="68"/>
      <c r="O116" s="68"/>
      <c r="P116" s="68"/>
      <c r="Q116" s="165"/>
      <c r="R116" s="167"/>
      <c r="S116" s="52"/>
      <c r="T116" s="52"/>
      <c r="U116" s="85"/>
    </row>
    <row r="117" spans="3:21" ht="15.75">
      <c r="C117" s="437" t="s">
        <v>459</v>
      </c>
      <c r="D117" s="415">
        <f>D111+0.1</f>
        <v>1.9000000000000001</v>
      </c>
      <c r="E117" s="415">
        <f>E111+0.1</f>
        <v>1.9000000000000001</v>
      </c>
      <c r="F117" s="415">
        <v>2.75</v>
      </c>
      <c r="G117" s="153">
        <f>D117*E117*F117</f>
        <v>9.9275</v>
      </c>
      <c r="H117" s="97"/>
      <c r="I117" s="152"/>
      <c r="J117" s="152">
        <f>G117*H109</f>
        <v>9.9275</v>
      </c>
      <c r="K117" s="168"/>
      <c r="L117" s="53"/>
      <c r="M117" s="68"/>
      <c r="N117" s="68"/>
      <c r="O117" s="68"/>
      <c r="P117" s="68"/>
      <c r="Q117" s="165"/>
      <c r="R117" s="167"/>
      <c r="S117" s="52"/>
      <c r="T117" s="52"/>
      <c r="U117" s="85"/>
    </row>
    <row r="118" spans="3:21" ht="15.75">
      <c r="C118" s="437"/>
      <c r="D118" s="231"/>
      <c r="E118" s="165"/>
      <c r="F118" s="165"/>
      <c r="G118" s="153"/>
      <c r="H118" s="97"/>
      <c r="I118" s="152"/>
      <c r="J118" s="152"/>
      <c r="K118" s="168"/>
      <c r="L118" s="53"/>
      <c r="M118" s="68"/>
      <c r="N118" s="68"/>
      <c r="O118" s="68"/>
      <c r="P118" s="68"/>
      <c r="Q118" s="165"/>
      <c r="R118" s="167"/>
      <c r="S118" s="52"/>
      <c r="T118" s="52"/>
      <c r="U118" s="85"/>
    </row>
    <row r="119" spans="3:21" ht="15.75">
      <c r="C119" s="437"/>
      <c r="D119" s="231"/>
      <c r="E119" s="165"/>
      <c r="F119" s="165"/>
      <c r="G119" s="153"/>
      <c r="H119" s="97"/>
      <c r="I119" s="152"/>
      <c r="J119" s="152"/>
      <c r="K119" s="168"/>
      <c r="L119" s="53"/>
      <c r="M119" s="68"/>
      <c r="N119" s="68"/>
      <c r="O119" s="68"/>
      <c r="P119" s="68"/>
      <c r="Q119" s="165"/>
      <c r="R119" s="167"/>
      <c r="S119" s="52"/>
      <c r="T119" s="52"/>
      <c r="U119" s="85"/>
    </row>
    <row r="120" spans="3:21" ht="15.75">
      <c r="C120" s="100"/>
      <c r="D120" s="165"/>
      <c r="E120" s="165"/>
      <c r="F120" s="165"/>
      <c r="G120" s="153"/>
      <c r="H120" s="97"/>
      <c r="I120" s="152"/>
      <c r="J120" s="152"/>
      <c r="K120" s="168"/>
      <c r="L120" s="53"/>
      <c r="M120" s="68"/>
      <c r="N120" s="68"/>
      <c r="O120" s="68"/>
      <c r="P120" s="68"/>
      <c r="Q120" s="165"/>
      <c r="R120" s="167"/>
      <c r="S120" s="52"/>
      <c r="T120" s="52"/>
      <c r="U120" s="85"/>
    </row>
    <row r="121" spans="3:21" ht="15.75">
      <c r="C121" s="100"/>
      <c r="D121" s="165"/>
      <c r="E121" s="165"/>
      <c r="F121" s="165"/>
      <c r="G121" s="153"/>
      <c r="H121" s="97"/>
      <c r="I121" s="152"/>
      <c r="J121" s="152"/>
      <c r="K121" s="168"/>
      <c r="L121" s="53"/>
      <c r="M121" s="68"/>
      <c r="N121" s="68"/>
      <c r="O121" s="68"/>
      <c r="P121" s="68"/>
      <c r="Q121" s="165"/>
      <c r="R121" s="167"/>
      <c r="S121" s="52"/>
      <c r="T121" s="52"/>
      <c r="U121" s="85"/>
    </row>
    <row r="122" spans="3:21" ht="16.5" thickBot="1">
      <c r="C122" s="72"/>
      <c r="D122" s="170"/>
      <c r="E122" s="170"/>
      <c r="F122" s="170"/>
      <c r="G122" s="383"/>
      <c r="H122" s="74"/>
      <c r="I122" s="76"/>
      <c r="J122" s="76"/>
      <c r="K122" s="78"/>
      <c r="L122" s="79"/>
      <c r="M122" s="74"/>
      <c r="N122" s="74"/>
      <c r="O122" s="74"/>
      <c r="P122" s="74"/>
      <c r="Q122" s="170"/>
      <c r="R122" s="74"/>
      <c r="S122" s="76"/>
      <c r="T122" s="76"/>
      <c r="U122" s="117"/>
    </row>
    <row r="123" spans="3:21" ht="16.5" thickTop="1">
      <c r="C123" s="63"/>
      <c r="D123" s="355"/>
      <c r="E123" s="355"/>
      <c r="F123" s="355"/>
      <c r="G123" s="384"/>
      <c r="H123" s="66"/>
      <c r="I123" s="66"/>
      <c r="J123" s="66"/>
      <c r="K123" s="66"/>
      <c r="L123" s="66"/>
      <c r="M123" s="66"/>
      <c r="N123" s="66"/>
      <c r="O123" s="66"/>
      <c r="P123" s="66"/>
      <c r="Q123" s="355"/>
      <c r="R123" s="66"/>
      <c r="S123" s="66"/>
      <c r="T123" s="66"/>
      <c r="U123" s="63"/>
    </row>
    <row r="125" spans="3:20" ht="16.5" thickBot="1">
      <c r="C125" s="172" t="s">
        <v>440</v>
      </c>
      <c r="L125" s="173"/>
      <c r="M125" s="174"/>
      <c r="N125" s="174"/>
      <c r="O125" s="174"/>
      <c r="P125" s="174"/>
      <c r="Q125" s="174"/>
      <c r="R125" s="174"/>
      <c r="S125" s="174"/>
      <c r="T125" s="174"/>
    </row>
    <row r="126" spans="3:20" ht="16.5" thickTop="1">
      <c r="C126" s="175"/>
      <c r="D126" s="161" t="s">
        <v>188</v>
      </c>
      <c r="E126" s="161" t="s">
        <v>324</v>
      </c>
      <c r="F126" s="161" t="s">
        <v>345</v>
      </c>
      <c r="G126" s="176" t="s">
        <v>346</v>
      </c>
      <c r="H126" s="161" t="s">
        <v>347</v>
      </c>
      <c r="I126" s="161" t="s">
        <v>348</v>
      </c>
      <c r="J126" s="161" t="s">
        <v>515</v>
      </c>
      <c r="K126" s="161" t="s">
        <v>348</v>
      </c>
      <c r="L126" s="175"/>
      <c r="M126" s="161" t="s">
        <v>188</v>
      </c>
      <c r="N126" s="161" t="s">
        <v>324</v>
      </c>
      <c r="O126" s="161" t="s">
        <v>345</v>
      </c>
      <c r="P126" s="176" t="s">
        <v>346</v>
      </c>
      <c r="Q126" s="82"/>
      <c r="R126" s="161" t="s">
        <v>347</v>
      </c>
      <c r="S126" s="161" t="s">
        <v>348</v>
      </c>
      <c r="T126" s="177"/>
    </row>
    <row r="127" spans="3:20" ht="16.5" thickBot="1">
      <c r="C127" s="127"/>
      <c r="D127" s="89"/>
      <c r="E127" s="89"/>
      <c r="F127" s="89" t="s">
        <v>349</v>
      </c>
      <c r="G127" s="52" t="s">
        <v>350</v>
      </c>
      <c r="H127" s="68" t="s">
        <v>350</v>
      </c>
      <c r="I127" s="68" t="s">
        <v>351</v>
      </c>
      <c r="J127" s="68"/>
      <c r="K127" s="68" t="s">
        <v>351</v>
      </c>
      <c r="L127" s="127"/>
      <c r="M127" s="89"/>
      <c r="N127" s="89"/>
      <c r="O127" s="89" t="s">
        <v>349</v>
      </c>
      <c r="P127" s="52" t="s">
        <v>350</v>
      </c>
      <c r="Q127" s="89"/>
      <c r="R127" s="68" t="s">
        <v>350</v>
      </c>
      <c r="S127" s="68" t="s">
        <v>351</v>
      </c>
      <c r="T127" s="85"/>
    </row>
    <row r="128" spans="3:20" ht="16.5" thickBot="1">
      <c r="C128" s="178" t="s">
        <v>261</v>
      </c>
      <c r="D128" s="179" t="s">
        <v>262</v>
      </c>
      <c r="E128" s="179" t="s">
        <v>263</v>
      </c>
      <c r="F128" s="179" t="s">
        <v>264</v>
      </c>
      <c r="G128" s="180" t="s">
        <v>352</v>
      </c>
      <c r="H128" s="179" t="s">
        <v>513</v>
      </c>
      <c r="I128" s="179" t="s">
        <v>514</v>
      </c>
      <c r="J128" s="179" t="s">
        <v>364</v>
      </c>
      <c r="K128" s="181"/>
      <c r="L128" s="178" t="s">
        <v>261</v>
      </c>
      <c r="M128" s="179" t="s">
        <v>262</v>
      </c>
      <c r="N128" s="179" t="s">
        <v>263</v>
      </c>
      <c r="O128" s="179" t="s">
        <v>264</v>
      </c>
      <c r="P128" s="180" t="s">
        <v>352</v>
      </c>
      <c r="Q128" s="179" t="s">
        <v>266</v>
      </c>
      <c r="R128" s="179" t="s">
        <v>354</v>
      </c>
      <c r="S128" s="179" t="s">
        <v>353</v>
      </c>
      <c r="T128" s="181"/>
    </row>
    <row r="129" spans="3:20" ht="15.75">
      <c r="C129" s="100"/>
      <c r="D129" s="126"/>
      <c r="E129" s="126"/>
      <c r="F129" s="182"/>
      <c r="G129" s="183"/>
      <c r="H129" s="182"/>
      <c r="I129" s="182"/>
      <c r="K129" s="185"/>
      <c r="L129" s="93"/>
      <c r="M129" s="94"/>
      <c r="N129" s="94"/>
      <c r="O129" s="182"/>
      <c r="P129" s="184"/>
      <c r="Q129" s="184"/>
      <c r="R129" s="182"/>
      <c r="S129" s="182"/>
      <c r="T129" s="186"/>
    </row>
    <row r="130" spans="2:20" ht="15.75">
      <c r="B130" s="435"/>
      <c r="C130" s="88" t="s">
        <v>441</v>
      </c>
      <c r="D130" s="126"/>
      <c r="E130" s="126"/>
      <c r="F130" s="187"/>
      <c r="G130" s="188"/>
      <c r="H130" s="187"/>
      <c r="I130" s="187"/>
      <c r="K130" s="164"/>
      <c r="L130" s="93"/>
      <c r="M130" s="94"/>
      <c r="N130" s="94"/>
      <c r="O130" s="187"/>
      <c r="P130" s="89"/>
      <c r="Q130" s="89"/>
      <c r="R130" s="187"/>
      <c r="S130" s="187"/>
      <c r="T130" s="85"/>
    </row>
    <row r="131" spans="3:20" ht="15.75">
      <c r="C131" s="69" t="s">
        <v>633</v>
      </c>
      <c r="D131" s="374">
        <f>D54</f>
        <v>0.2</v>
      </c>
      <c r="E131" s="374">
        <f>E54</f>
        <v>0.5</v>
      </c>
      <c r="F131" s="187">
        <f>E131-0.12</f>
        <v>0.38</v>
      </c>
      <c r="G131" s="188">
        <f>E131*D131</f>
        <v>0.1</v>
      </c>
      <c r="H131" s="187">
        <f>D131+2*F131</f>
        <v>0.96</v>
      </c>
      <c r="I131" s="187">
        <f>H131/G131</f>
        <v>9.6</v>
      </c>
      <c r="J131" s="124">
        <v>1</v>
      </c>
      <c r="K131" s="439">
        <f>I131/J131</f>
        <v>9.6</v>
      </c>
      <c r="L131" s="93"/>
      <c r="M131" s="94"/>
      <c r="N131" s="94"/>
      <c r="O131" s="89"/>
      <c r="P131" s="89"/>
      <c r="Q131" s="89"/>
      <c r="R131" s="187"/>
      <c r="S131" s="187"/>
      <c r="T131" s="85"/>
    </row>
    <row r="132" spans="3:20" ht="15.75">
      <c r="C132" s="69" t="s">
        <v>634</v>
      </c>
      <c r="D132" s="374">
        <f>D56</f>
        <v>0.2</v>
      </c>
      <c r="E132" s="374">
        <f>E56</f>
        <v>0.4</v>
      </c>
      <c r="F132" s="187">
        <f>E132-0.12</f>
        <v>0.28</v>
      </c>
      <c r="G132" s="188">
        <f>E132*D132</f>
        <v>0.08000000000000002</v>
      </c>
      <c r="H132" s="187">
        <f>D132+2*F132</f>
        <v>0.76</v>
      </c>
      <c r="I132" s="187">
        <f>H132/G132</f>
        <v>9.499999999999998</v>
      </c>
      <c r="J132" s="124">
        <v>1</v>
      </c>
      <c r="K132" s="439">
        <f>I132/J132</f>
        <v>9.499999999999998</v>
      </c>
      <c r="L132" s="93"/>
      <c r="M132" s="94"/>
      <c r="N132" s="94"/>
      <c r="O132" s="89"/>
      <c r="P132" s="89"/>
      <c r="Q132" s="89"/>
      <c r="R132" s="187"/>
      <c r="S132" s="187"/>
      <c r="T132" s="85"/>
    </row>
    <row r="133" spans="3:20" ht="15.75">
      <c r="C133" s="69" t="s">
        <v>635</v>
      </c>
      <c r="D133" s="374">
        <f>D57</f>
        <v>0.2</v>
      </c>
      <c r="E133" s="374">
        <f>E57</f>
        <v>0.3</v>
      </c>
      <c r="F133" s="187">
        <f>E133-0.12</f>
        <v>0.18</v>
      </c>
      <c r="G133" s="188">
        <f>E133*D133</f>
        <v>0.06</v>
      </c>
      <c r="H133" s="187">
        <f>D133+2*F133</f>
        <v>0.56</v>
      </c>
      <c r="I133" s="187">
        <f>H133/G133</f>
        <v>9.333333333333334</v>
      </c>
      <c r="J133" s="124">
        <v>1</v>
      </c>
      <c r="K133" s="439">
        <f>I133/J133</f>
        <v>9.333333333333334</v>
      </c>
      <c r="L133" s="93"/>
      <c r="M133" s="94"/>
      <c r="N133" s="94"/>
      <c r="O133" s="89"/>
      <c r="P133" s="89"/>
      <c r="Q133" s="89"/>
      <c r="R133" s="187"/>
      <c r="S133" s="187"/>
      <c r="T133" s="85"/>
    </row>
    <row r="134" spans="3:20" ht="15.75">
      <c r="C134" s="69"/>
      <c r="D134" s="374"/>
      <c r="E134" s="374"/>
      <c r="F134" s="187"/>
      <c r="G134" s="188"/>
      <c r="H134" s="187"/>
      <c r="I134" s="187"/>
      <c r="J134" s="124"/>
      <c r="K134" s="439"/>
      <c r="L134" s="93"/>
      <c r="M134" s="94"/>
      <c r="N134" s="94"/>
      <c r="O134" s="89"/>
      <c r="P134" s="89"/>
      <c r="Q134" s="89"/>
      <c r="R134" s="187"/>
      <c r="S134" s="187"/>
      <c r="T134" s="85"/>
    </row>
    <row r="135" spans="3:20" ht="15.75">
      <c r="C135" s="100"/>
      <c r="D135" s="126"/>
      <c r="E135" s="126"/>
      <c r="F135" s="187"/>
      <c r="G135" s="188"/>
      <c r="H135" s="187"/>
      <c r="I135" s="187"/>
      <c r="K135" s="164"/>
      <c r="L135" s="93"/>
      <c r="M135" s="94"/>
      <c r="N135" s="94"/>
      <c r="O135" s="89"/>
      <c r="P135" s="89"/>
      <c r="Q135" s="89"/>
      <c r="R135" s="187"/>
      <c r="S135" s="187"/>
      <c r="T135" s="85"/>
    </row>
    <row r="136" spans="3:20" ht="15.75">
      <c r="C136" s="88" t="s">
        <v>433</v>
      </c>
      <c r="D136" s="94"/>
      <c r="E136" s="94"/>
      <c r="F136" s="187"/>
      <c r="G136" s="188"/>
      <c r="H136" s="187"/>
      <c r="I136" s="187"/>
      <c r="K136" s="164"/>
      <c r="L136" s="107"/>
      <c r="M136" s="97"/>
      <c r="N136" s="97"/>
      <c r="O136" s="89"/>
      <c r="P136" s="89"/>
      <c r="Q136" s="89"/>
      <c r="R136" s="187"/>
      <c r="S136" s="187"/>
      <c r="T136" s="85"/>
    </row>
    <row r="137" spans="3:20" ht="15.75">
      <c r="C137" s="69" t="s">
        <v>456</v>
      </c>
      <c r="D137" s="374">
        <v>0.15</v>
      </c>
      <c r="E137" s="374">
        <v>0.2</v>
      </c>
      <c r="F137" s="187">
        <f>E137</f>
        <v>0.2</v>
      </c>
      <c r="G137" s="188">
        <f>E137*D137</f>
        <v>0.03</v>
      </c>
      <c r="H137" s="187">
        <f>2*F137</f>
        <v>0.4</v>
      </c>
      <c r="I137" s="187">
        <f>H137/G137</f>
        <v>13.333333333333334</v>
      </c>
      <c r="J137" s="124">
        <v>2</v>
      </c>
      <c r="K137" s="439">
        <f>I137/J137</f>
        <v>6.666666666666667</v>
      </c>
      <c r="L137" s="105"/>
      <c r="M137" s="97"/>
      <c r="N137" s="97"/>
      <c r="O137" s="89"/>
      <c r="P137" s="89"/>
      <c r="Q137" s="89"/>
      <c r="R137" s="187"/>
      <c r="S137" s="187"/>
      <c r="T137" s="85"/>
    </row>
    <row r="138" spans="3:20" ht="15.75">
      <c r="C138" s="69" t="s">
        <v>480</v>
      </c>
      <c r="D138" s="94">
        <v>0.2</v>
      </c>
      <c r="E138" s="94">
        <v>0.3</v>
      </c>
      <c r="F138" s="187"/>
      <c r="G138" s="188">
        <f>E138*D138</f>
        <v>0.06</v>
      </c>
      <c r="H138" s="187">
        <f>D138+2*E138</f>
        <v>0.8</v>
      </c>
      <c r="I138" s="187">
        <f>H138/G138</f>
        <v>13.333333333333334</v>
      </c>
      <c r="J138" s="124">
        <v>2</v>
      </c>
      <c r="K138" s="439">
        <f>I138/J138</f>
        <v>6.666666666666667</v>
      </c>
      <c r="L138" s="105"/>
      <c r="M138" s="97"/>
      <c r="N138" s="97"/>
      <c r="O138" s="89"/>
      <c r="P138" s="89"/>
      <c r="Q138" s="89"/>
      <c r="R138" s="187"/>
      <c r="S138" s="187"/>
      <c r="T138" s="85"/>
    </row>
    <row r="139" spans="3:20" ht="15.75">
      <c r="C139" s="88" t="s">
        <v>340</v>
      </c>
      <c r="D139" s="126"/>
      <c r="E139" s="126"/>
      <c r="F139" s="187"/>
      <c r="G139" s="188"/>
      <c r="H139" s="187"/>
      <c r="I139" s="187"/>
      <c r="J139" s="124"/>
      <c r="K139" s="439"/>
      <c r="L139" s="105"/>
      <c r="M139" s="97"/>
      <c r="N139" s="97"/>
      <c r="O139" s="89"/>
      <c r="P139" s="89"/>
      <c r="Q139" s="89"/>
      <c r="R139" s="187"/>
      <c r="S139" s="187"/>
      <c r="T139" s="85"/>
    </row>
    <row r="140" spans="3:20" ht="15.75">
      <c r="C140" s="69" t="s">
        <v>477</v>
      </c>
      <c r="D140" s="374">
        <f>D62</f>
        <v>0.2</v>
      </c>
      <c r="E140" s="374">
        <f>E62</f>
        <v>0.25</v>
      </c>
      <c r="F140" s="187">
        <f>E140</f>
        <v>0.25</v>
      </c>
      <c r="G140" s="188">
        <f>E140*D140</f>
        <v>0.05</v>
      </c>
      <c r="H140" s="187">
        <f>2*F140</f>
        <v>0.5</v>
      </c>
      <c r="I140" s="187">
        <f>H140/G140/2</f>
        <v>5</v>
      </c>
      <c r="J140" s="124">
        <v>2</v>
      </c>
      <c r="K140" s="439">
        <f>I140/J140</f>
        <v>2.5</v>
      </c>
      <c r="L140" s="107"/>
      <c r="M140" s="97"/>
      <c r="N140" s="97"/>
      <c r="O140" s="89"/>
      <c r="P140" s="89"/>
      <c r="Q140" s="89"/>
      <c r="R140" s="187"/>
      <c r="S140" s="187"/>
      <c r="T140" s="85"/>
    </row>
    <row r="141" spans="3:20" ht="15.75">
      <c r="C141" s="69" t="s">
        <v>641</v>
      </c>
      <c r="D141" s="374">
        <f>D65</f>
        <v>0.15</v>
      </c>
      <c r="E141" s="374">
        <f>E65</f>
        <v>0.2</v>
      </c>
      <c r="F141" s="187">
        <f>E141</f>
        <v>0.2</v>
      </c>
      <c r="G141" s="188">
        <f>E141*D141</f>
        <v>0.03</v>
      </c>
      <c r="H141" s="187">
        <f>2*F141</f>
        <v>0.4</v>
      </c>
      <c r="I141" s="187">
        <f>H141/G141/2</f>
        <v>6.666666666666667</v>
      </c>
      <c r="J141" s="124">
        <v>2</v>
      </c>
      <c r="K141" s="439">
        <f>I141/J141</f>
        <v>3.3333333333333335</v>
      </c>
      <c r="L141" s="107"/>
      <c r="M141" s="97"/>
      <c r="N141" s="97"/>
      <c r="O141" s="89"/>
      <c r="P141" s="89"/>
      <c r="Q141" s="89"/>
      <c r="R141" s="187"/>
      <c r="S141" s="187"/>
      <c r="T141" s="85"/>
    </row>
    <row r="142" spans="2:20" ht="15.75">
      <c r="B142" s="435"/>
      <c r="C142" s="88" t="s">
        <v>442</v>
      </c>
      <c r="D142" s="129"/>
      <c r="E142" s="129"/>
      <c r="F142" s="187"/>
      <c r="G142" s="188"/>
      <c r="H142" s="187"/>
      <c r="I142" s="187"/>
      <c r="J142" s="124"/>
      <c r="K142" s="439"/>
      <c r="L142" s="107"/>
      <c r="M142" s="97"/>
      <c r="N142" s="97"/>
      <c r="O142" s="89"/>
      <c r="P142" s="89"/>
      <c r="Q142" s="89"/>
      <c r="R142" s="187"/>
      <c r="S142" s="187"/>
      <c r="T142" s="85"/>
    </row>
    <row r="143" spans="3:20" ht="15.75">
      <c r="C143" s="441" t="s">
        <v>642</v>
      </c>
      <c r="D143" s="97">
        <v>0.15</v>
      </c>
      <c r="E143" s="97">
        <v>0.15</v>
      </c>
      <c r="F143" s="89"/>
      <c r="G143" s="166">
        <f>E143*D143</f>
        <v>0.0225</v>
      </c>
      <c r="H143" s="187">
        <f>(D143+E143)*2</f>
        <v>0.6</v>
      </c>
      <c r="I143" s="187">
        <f>H143/G143</f>
        <v>26.666666666666668</v>
      </c>
      <c r="J143" s="124">
        <v>2</v>
      </c>
      <c r="K143" s="439">
        <f>I143/J143</f>
        <v>13.333333333333334</v>
      </c>
      <c r="L143" s="107"/>
      <c r="M143" s="97"/>
      <c r="N143" s="97"/>
      <c r="O143" s="89"/>
      <c r="P143" s="89"/>
      <c r="Q143" s="89"/>
      <c r="R143" s="187"/>
      <c r="S143" s="187"/>
      <c r="T143" s="85"/>
    </row>
    <row r="144" spans="3:20" ht="15.75">
      <c r="C144" s="441" t="s">
        <v>637</v>
      </c>
      <c r="D144" s="97">
        <f>D43</f>
        <v>0.15</v>
      </c>
      <c r="E144" s="97">
        <f>E43</f>
        <v>0.15</v>
      </c>
      <c r="F144" s="89"/>
      <c r="G144" s="166">
        <f>E144*D144</f>
        <v>0.0225</v>
      </c>
      <c r="H144" s="187">
        <f>(D144+E144)*2</f>
        <v>0.6</v>
      </c>
      <c r="I144" s="187">
        <f>H144/G144</f>
        <v>26.666666666666668</v>
      </c>
      <c r="J144" s="124">
        <v>2</v>
      </c>
      <c r="K144" s="439">
        <f>I144/J144</f>
        <v>13.333333333333334</v>
      </c>
      <c r="L144" s="107"/>
      <c r="M144" s="97"/>
      <c r="N144" s="97"/>
      <c r="O144" s="89"/>
      <c r="P144" s="89"/>
      <c r="Q144" s="89"/>
      <c r="R144" s="187"/>
      <c r="S144" s="187"/>
      <c r="T144" s="85"/>
    </row>
    <row r="145" spans="3:20" ht="15.75">
      <c r="C145" s="441" t="s">
        <v>638</v>
      </c>
      <c r="D145" s="97">
        <f>D44</f>
        <v>0.3</v>
      </c>
      <c r="E145" s="97">
        <f>E44</f>
        <v>0.3</v>
      </c>
      <c r="F145" s="89"/>
      <c r="G145" s="166">
        <f>E145*D145</f>
        <v>0.09</v>
      </c>
      <c r="H145" s="187">
        <f>(D145+E145)*2</f>
        <v>1.2</v>
      </c>
      <c r="I145" s="187">
        <f>H145/G145</f>
        <v>13.333333333333334</v>
      </c>
      <c r="J145" s="124">
        <v>2</v>
      </c>
      <c r="K145" s="439">
        <f>I145/J145</f>
        <v>6.666666666666667</v>
      </c>
      <c r="L145" s="107"/>
      <c r="M145" s="97"/>
      <c r="N145" s="97"/>
      <c r="O145" s="89"/>
      <c r="P145" s="89"/>
      <c r="Q145" s="89"/>
      <c r="R145" s="187"/>
      <c r="S145" s="187"/>
      <c r="T145" s="85"/>
    </row>
    <row r="146" spans="3:20" ht="15.75">
      <c r="C146" s="441" t="s">
        <v>639</v>
      </c>
      <c r="D146" s="97">
        <v>0</v>
      </c>
      <c r="E146" s="97">
        <v>0</v>
      </c>
      <c r="F146" s="89"/>
      <c r="G146" s="166">
        <f>E146*D146</f>
        <v>0</v>
      </c>
      <c r="H146" s="187">
        <f>(D146+E146)*2</f>
        <v>0</v>
      </c>
      <c r="I146" s="187"/>
      <c r="J146" s="124"/>
      <c r="K146" s="439"/>
      <c r="L146" s="107"/>
      <c r="M146" s="97"/>
      <c r="N146" s="97"/>
      <c r="O146" s="89"/>
      <c r="P146" s="89"/>
      <c r="Q146" s="89"/>
      <c r="R146" s="187"/>
      <c r="S146" s="187"/>
      <c r="T146" s="85"/>
    </row>
    <row r="147" spans="3:20" ht="15.75">
      <c r="C147" s="441" t="s">
        <v>640</v>
      </c>
      <c r="D147" s="97"/>
      <c r="E147" s="97"/>
      <c r="F147" s="89"/>
      <c r="G147" s="166">
        <f>E147*D147</f>
        <v>0</v>
      </c>
      <c r="H147" s="187">
        <f>(D147+E147)*2</f>
        <v>0</v>
      </c>
      <c r="I147" s="187"/>
      <c r="J147" s="124"/>
      <c r="K147" s="439"/>
      <c r="L147" s="107"/>
      <c r="M147" s="97"/>
      <c r="N147" s="97"/>
      <c r="O147" s="89"/>
      <c r="P147" s="89"/>
      <c r="Q147" s="89"/>
      <c r="R147" s="187"/>
      <c r="S147" s="187"/>
      <c r="T147" s="85"/>
    </row>
    <row r="148" spans="3:20" ht="15.75">
      <c r="C148" s="105"/>
      <c r="D148" s="97"/>
      <c r="E148" s="97"/>
      <c r="F148" s="89"/>
      <c r="G148" s="166"/>
      <c r="H148" s="187"/>
      <c r="I148" s="187"/>
      <c r="J148" s="124"/>
      <c r="K148" s="439"/>
      <c r="L148" s="107"/>
      <c r="M148" s="97"/>
      <c r="N148" s="97"/>
      <c r="O148" s="89"/>
      <c r="P148" s="89"/>
      <c r="Q148" s="89"/>
      <c r="R148" s="187"/>
      <c r="S148" s="187"/>
      <c r="T148" s="85"/>
    </row>
    <row r="149" spans="3:20" ht="15.75">
      <c r="C149" s="105"/>
      <c r="D149" s="94"/>
      <c r="E149" s="94"/>
      <c r="F149" s="187"/>
      <c r="G149" s="166"/>
      <c r="H149" s="187"/>
      <c r="I149" s="187"/>
      <c r="J149" s="124"/>
      <c r="K149" s="439"/>
      <c r="L149" s="100"/>
      <c r="M149" s="89"/>
      <c r="N149" s="89"/>
      <c r="O149" s="89"/>
      <c r="P149" s="89"/>
      <c r="Q149" s="89"/>
      <c r="R149" s="187"/>
      <c r="S149" s="187"/>
      <c r="T149" s="85"/>
    </row>
    <row r="150" spans="12:20" ht="15.75">
      <c r="L150" s="107"/>
      <c r="M150" s="97"/>
      <c r="N150" s="97"/>
      <c r="O150" s="89"/>
      <c r="P150" s="89"/>
      <c r="Q150" s="89"/>
      <c r="R150" s="187"/>
      <c r="S150" s="187"/>
      <c r="T150" s="85"/>
    </row>
    <row r="151" spans="12:20" ht="15.75">
      <c r="L151" s="107"/>
      <c r="M151" s="97"/>
      <c r="N151" s="97"/>
      <c r="O151" s="89"/>
      <c r="P151" s="89"/>
      <c r="Q151" s="89"/>
      <c r="R151" s="187"/>
      <c r="S151" s="187"/>
      <c r="T151" s="85"/>
    </row>
    <row r="152" spans="12:20" ht="15.75">
      <c r="L152" s="107"/>
      <c r="M152" s="97"/>
      <c r="N152" s="97"/>
      <c r="O152" s="89"/>
      <c r="P152" s="89"/>
      <c r="Q152" s="89"/>
      <c r="R152" s="187"/>
      <c r="S152" s="187"/>
      <c r="T152" s="85"/>
    </row>
    <row r="153" spans="12:20" ht="15.75">
      <c r="L153" s="107"/>
      <c r="M153" s="97"/>
      <c r="N153" s="97"/>
      <c r="O153" s="89"/>
      <c r="P153" s="89"/>
      <c r="Q153" s="89"/>
      <c r="R153" s="187"/>
      <c r="S153" s="187"/>
      <c r="T153" s="85"/>
    </row>
    <row r="154" spans="12:20" ht="15.75">
      <c r="L154" s="107"/>
      <c r="M154" s="97"/>
      <c r="N154" s="97"/>
      <c r="O154" s="89"/>
      <c r="P154" s="89"/>
      <c r="Q154" s="89"/>
      <c r="R154" s="187"/>
      <c r="S154" s="187"/>
      <c r="T154" s="85"/>
    </row>
    <row r="155" spans="12:20" ht="15.75">
      <c r="L155" s="107"/>
      <c r="M155" s="97"/>
      <c r="N155" s="97"/>
      <c r="O155" s="89"/>
      <c r="P155" s="89"/>
      <c r="Q155" s="89"/>
      <c r="R155" s="187"/>
      <c r="S155" s="187"/>
      <c r="T155" s="85"/>
    </row>
    <row r="156" spans="12:20" ht="15.75">
      <c r="L156" s="107"/>
      <c r="M156" s="97"/>
      <c r="N156" s="97"/>
      <c r="O156" s="89"/>
      <c r="P156" s="89"/>
      <c r="Q156" s="89"/>
      <c r="R156" s="187"/>
      <c r="S156" s="187"/>
      <c r="T156" s="85"/>
    </row>
    <row r="157" spans="12:20" ht="15.75">
      <c r="L157" s="107"/>
      <c r="M157" s="97"/>
      <c r="N157" s="97"/>
      <c r="O157" s="89"/>
      <c r="P157" s="89"/>
      <c r="Q157" s="89"/>
      <c r="R157" s="187"/>
      <c r="S157" s="187"/>
      <c r="T157" s="85"/>
    </row>
    <row r="158" spans="3:20" ht="15.75">
      <c r="C158" s="105"/>
      <c r="D158" s="97"/>
      <c r="E158" s="97"/>
      <c r="F158" s="89"/>
      <c r="G158" s="190"/>
      <c r="H158" s="124"/>
      <c r="I158" s="187"/>
      <c r="J158" s="518"/>
      <c r="K158" s="439"/>
      <c r="L158" s="107"/>
      <c r="M158" s="97"/>
      <c r="N158" s="97"/>
      <c r="O158" s="89"/>
      <c r="P158" s="89"/>
      <c r="Q158" s="89"/>
      <c r="R158" s="187"/>
      <c r="S158" s="187"/>
      <c r="T158" s="85"/>
    </row>
    <row r="159" spans="12:20" ht="15.75">
      <c r="L159" s="107"/>
      <c r="M159" s="97"/>
      <c r="N159" s="97"/>
      <c r="O159" s="89"/>
      <c r="P159" s="89"/>
      <c r="Q159" s="89"/>
      <c r="R159" s="187"/>
      <c r="S159" s="187"/>
      <c r="T159" s="85"/>
    </row>
    <row r="160" spans="12:20" ht="15.75">
      <c r="L160" s="107"/>
      <c r="M160" s="97"/>
      <c r="N160" s="97"/>
      <c r="O160" s="89"/>
      <c r="P160" s="89"/>
      <c r="Q160" s="89"/>
      <c r="R160" s="187"/>
      <c r="S160" s="187"/>
      <c r="T160" s="85"/>
    </row>
    <row r="161" spans="12:20" ht="15.75">
      <c r="L161" s="107"/>
      <c r="M161" s="97"/>
      <c r="N161" s="97"/>
      <c r="O161" s="89"/>
      <c r="P161" s="89"/>
      <c r="Q161" s="89"/>
      <c r="R161" s="187"/>
      <c r="S161" s="187"/>
      <c r="T161" s="85"/>
    </row>
    <row r="162" spans="12:20" ht="15.75">
      <c r="L162" s="107"/>
      <c r="M162" s="97"/>
      <c r="N162" s="97"/>
      <c r="O162" s="89"/>
      <c r="P162" s="89"/>
      <c r="Q162" s="89"/>
      <c r="R162" s="187"/>
      <c r="S162" s="187"/>
      <c r="T162" s="85"/>
    </row>
    <row r="163" spans="12:20" ht="15.75">
      <c r="L163" s="107"/>
      <c r="M163" s="97"/>
      <c r="N163" s="97"/>
      <c r="O163" s="89"/>
      <c r="P163" s="89"/>
      <c r="Q163" s="89"/>
      <c r="R163" s="187"/>
      <c r="S163" s="187"/>
      <c r="T163" s="85"/>
    </row>
    <row r="164" spans="3:20" ht="15.75">
      <c r="C164" s="105"/>
      <c r="D164" s="97"/>
      <c r="E164" s="97"/>
      <c r="F164" s="89"/>
      <c r="G164" s="190"/>
      <c r="H164" s="124"/>
      <c r="I164" s="187"/>
      <c r="J164" s="124"/>
      <c r="K164" s="439"/>
      <c r="L164" s="107"/>
      <c r="M164" s="97"/>
      <c r="N164" s="97"/>
      <c r="O164" s="89"/>
      <c r="P164" s="89"/>
      <c r="Q164" s="89"/>
      <c r="R164" s="187"/>
      <c r="S164" s="187"/>
      <c r="T164" s="85"/>
    </row>
    <row r="165" spans="3:20" ht="15.75">
      <c r="C165" s="385" t="s">
        <v>458</v>
      </c>
      <c r="D165" s="97"/>
      <c r="E165" s="97"/>
      <c r="F165" s="89"/>
      <c r="G165" s="190"/>
      <c r="H165" s="187"/>
      <c r="I165" s="187"/>
      <c r="J165" s="124"/>
      <c r="K165" s="439"/>
      <c r="L165" s="107"/>
      <c r="M165" s="97"/>
      <c r="N165" s="97"/>
      <c r="O165" s="89"/>
      <c r="P165" s="89"/>
      <c r="Q165" s="89"/>
      <c r="R165" s="187"/>
      <c r="S165" s="187"/>
      <c r="T165" s="85"/>
    </row>
    <row r="166" spans="3:20" ht="15.75">
      <c r="C166" s="105"/>
      <c r="D166" s="97">
        <v>0.12</v>
      </c>
      <c r="E166" s="97">
        <v>0.2</v>
      </c>
      <c r="F166" s="89"/>
      <c r="G166" s="188">
        <f>E166*D166</f>
        <v>0.024</v>
      </c>
      <c r="H166" s="187">
        <f>(E166)*2+D166</f>
        <v>0.52</v>
      </c>
      <c r="I166" s="187">
        <f>H166/G166/3</f>
        <v>7.222222222222222</v>
      </c>
      <c r="J166" s="124">
        <v>2</v>
      </c>
      <c r="K166" s="439">
        <f>I166/J166</f>
        <v>3.611111111111111</v>
      </c>
      <c r="L166" s="107"/>
      <c r="M166" s="97"/>
      <c r="N166" s="97"/>
      <c r="O166" s="89"/>
      <c r="P166" s="89"/>
      <c r="Q166" s="89"/>
      <c r="R166" s="187"/>
      <c r="S166" s="187"/>
      <c r="T166" s="85"/>
    </row>
    <row r="167" spans="3:20" ht="15.75">
      <c r="C167" s="105"/>
      <c r="D167" s="97"/>
      <c r="E167" s="97"/>
      <c r="F167" s="89"/>
      <c r="G167" s="190"/>
      <c r="H167" s="187"/>
      <c r="I167" s="187"/>
      <c r="K167" s="85"/>
      <c r="L167" s="107"/>
      <c r="M167" s="97"/>
      <c r="N167" s="97"/>
      <c r="O167" s="89"/>
      <c r="P167" s="89"/>
      <c r="Q167" s="89"/>
      <c r="R167" s="187"/>
      <c r="S167" s="187"/>
      <c r="T167" s="85"/>
    </row>
    <row r="168" spans="2:20" ht="15.75">
      <c r="B168" s="435"/>
      <c r="C168" s="385" t="s">
        <v>443</v>
      </c>
      <c r="D168" s="97"/>
      <c r="E168" s="97"/>
      <c r="F168" s="89"/>
      <c r="G168" s="190"/>
      <c r="H168" s="187"/>
      <c r="I168" s="187"/>
      <c r="K168" s="85"/>
      <c r="L168" s="107"/>
      <c r="M168" s="97"/>
      <c r="N168" s="97"/>
      <c r="O168" s="89"/>
      <c r="P168" s="89"/>
      <c r="Q168" s="89"/>
      <c r="R168" s="187"/>
      <c r="S168" s="187"/>
      <c r="T168" s="85"/>
    </row>
    <row r="169" spans="3:20" ht="15.75">
      <c r="C169" s="105" t="s">
        <v>471</v>
      </c>
      <c r="D169" s="165"/>
      <c r="E169" s="165"/>
      <c r="F169" s="165"/>
      <c r="G169" s="190"/>
      <c r="H169" s="187"/>
      <c r="I169" s="187"/>
      <c r="J169" s="124"/>
      <c r="K169" s="439"/>
      <c r="L169" s="107"/>
      <c r="M169" s="97"/>
      <c r="N169" s="97"/>
      <c r="O169" s="89"/>
      <c r="P169" s="89"/>
      <c r="Q169" s="89"/>
      <c r="R169" s="187"/>
      <c r="S169" s="187"/>
      <c r="T169" s="85"/>
    </row>
    <row r="170" spans="3:20" ht="15.75">
      <c r="C170" s="105"/>
      <c r="D170" s="165"/>
      <c r="E170" s="165"/>
      <c r="F170" s="165"/>
      <c r="G170" s="190"/>
      <c r="H170" s="187"/>
      <c r="I170" s="187"/>
      <c r="K170" s="85"/>
      <c r="L170" s="107"/>
      <c r="M170" s="97"/>
      <c r="N170" s="97"/>
      <c r="O170" s="89"/>
      <c r="P170" s="89"/>
      <c r="Q170" s="89"/>
      <c r="R170" s="187"/>
      <c r="S170" s="187"/>
      <c r="T170" s="85"/>
    </row>
    <row r="171" spans="3:20" ht="15.75">
      <c r="C171" s="105"/>
      <c r="D171" s="165"/>
      <c r="E171" s="165"/>
      <c r="F171" s="165"/>
      <c r="G171" s="190"/>
      <c r="H171" s="89"/>
      <c r="I171" s="187"/>
      <c r="J171" s="187"/>
      <c r="K171" s="85"/>
      <c r="L171" s="107"/>
      <c r="M171" s="97"/>
      <c r="N171" s="97"/>
      <c r="O171" s="89"/>
      <c r="P171" s="89"/>
      <c r="Q171" s="89"/>
      <c r="R171" s="187"/>
      <c r="S171" s="187"/>
      <c r="T171" s="85"/>
    </row>
    <row r="172" spans="3:20" ht="15.75">
      <c r="C172" s="105"/>
      <c r="D172" s="165"/>
      <c r="E172" s="165"/>
      <c r="F172" s="165"/>
      <c r="G172" s="190"/>
      <c r="H172" s="89"/>
      <c r="I172" s="187"/>
      <c r="J172" s="187"/>
      <c r="K172" s="85"/>
      <c r="L172" s="107"/>
      <c r="M172" s="97"/>
      <c r="N172" s="97"/>
      <c r="O172" s="89"/>
      <c r="P172" s="89"/>
      <c r="Q172" s="89"/>
      <c r="R172" s="187"/>
      <c r="S172" s="187"/>
      <c r="T172" s="85"/>
    </row>
    <row r="173" spans="3:20" ht="15.75">
      <c r="C173" s="105"/>
      <c r="D173" s="165"/>
      <c r="E173" s="165"/>
      <c r="F173" s="165"/>
      <c r="G173" s="190"/>
      <c r="H173" s="89"/>
      <c r="I173" s="187"/>
      <c r="J173" s="187"/>
      <c r="K173" s="85"/>
      <c r="L173" s="107"/>
      <c r="M173" s="97"/>
      <c r="N173" s="97"/>
      <c r="O173" s="89"/>
      <c r="P173" s="89"/>
      <c r="Q173" s="89"/>
      <c r="R173" s="187"/>
      <c r="S173" s="187"/>
      <c r="T173" s="85"/>
    </row>
    <row r="174" spans="3:20" ht="15.75">
      <c r="C174" s="105"/>
      <c r="D174" s="97"/>
      <c r="E174" s="97"/>
      <c r="F174" s="89"/>
      <c r="G174" s="190"/>
      <c r="H174" s="89"/>
      <c r="I174" s="187"/>
      <c r="J174" s="187"/>
      <c r="K174" s="85"/>
      <c r="L174" s="107"/>
      <c r="M174" s="97"/>
      <c r="N174" s="97"/>
      <c r="O174" s="89"/>
      <c r="P174" s="89"/>
      <c r="Q174" s="89"/>
      <c r="R174" s="187"/>
      <c r="S174" s="187"/>
      <c r="T174" s="85"/>
    </row>
    <row r="175" spans="3:20" ht="15.75">
      <c r="C175" s="189"/>
      <c r="D175" s="143"/>
      <c r="E175" s="143"/>
      <c r="F175" s="187"/>
      <c r="G175" s="188"/>
      <c r="H175" s="89"/>
      <c r="I175" s="187"/>
      <c r="J175" s="187"/>
      <c r="K175" s="85"/>
      <c r="L175" s="100"/>
      <c r="M175" s="89"/>
      <c r="N175" s="89"/>
      <c r="O175" s="89"/>
      <c r="P175" s="89"/>
      <c r="Q175" s="89"/>
      <c r="R175" s="89"/>
      <c r="S175" s="89"/>
      <c r="T175" s="85"/>
    </row>
    <row r="176" spans="3:20" ht="16.5" thickBot="1">
      <c r="C176" s="100"/>
      <c r="D176" s="89"/>
      <c r="E176" s="89"/>
      <c r="F176" s="89"/>
      <c r="G176" s="89"/>
      <c r="H176" s="89"/>
      <c r="I176" s="89"/>
      <c r="J176" s="89"/>
      <c r="K176" s="85"/>
      <c r="L176" s="72"/>
      <c r="M176" s="112"/>
      <c r="N176" s="112"/>
      <c r="O176" s="112"/>
      <c r="P176" s="112"/>
      <c r="Q176" s="112"/>
      <c r="R176" s="112"/>
      <c r="S176" s="112"/>
      <c r="T176" s="117"/>
    </row>
    <row r="177" spans="3:11" ht="16.5" thickTop="1">
      <c r="C177" s="61"/>
      <c r="D177" s="61"/>
      <c r="E177" s="61"/>
      <c r="F177" s="61"/>
      <c r="G177" s="61"/>
      <c r="H177" s="61"/>
      <c r="I177" s="61"/>
      <c r="J177" s="61"/>
      <c r="K177" s="61"/>
    </row>
    <row r="178" spans="3:11" ht="15.75">
      <c r="C178" s="63"/>
      <c r="D178" s="63"/>
      <c r="E178" s="63"/>
      <c r="F178" s="63"/>
      <c r="G178" s="63"/>
      <c r="H178" s="63"/>
      <c r="I178" s="63"/>
      <c r="J178" s="63"/>
      <c r="K178" s="63"/>
    </row>
    <row r="179" ht="16.5" thickBot="1"/>
    <row r="180" spans="3:20" ht="16.5" thickTop="1">
      <c r="C180" s="192"/>
      <c r="D180" s="193"/>
      <c r="E180" s="194"/>
      <c r="F180" s="195"/>
      <c r="G180" s="193"/>
      <c r="H180" s="196"/>
      <c r="I180" s="1086"/>
      <c r="J180" s="1087"/>
      <c r="K180" s="197"/>
      <c r="L180" s="175"/>
      <c r="M180" s="176"/>
      <c r="N180" s="198"/>
      <c r="O180" s="161"/>
      <c r="P180" s="176"/>
      <c r="Q180" s="82"/>
      <c r="R180" s="1088"/>
      <c r="S180" s="1089"/>
      <c r="T180" s="177"/>
    </row>
    <row r="181" spans="3:20" ht="15.75">
      <c r="C181" s="199" t="s">
        <v>323</v>
      </c>
      <c r="D181" s="1090" t="s">
        <v>355</v>
      </c>
      <c r="E181" s="1091"/>
      <c r="F181" s="201" t="s">
        <v>322</v>
      </c>
      <c r="G181" s="200" t="s">
        <v>341</v>
      </c>
      <c r="H181" s="201" t="s">
        <v>225</v>
      </c>
      <c r="I181" s="1098" t="s">
        <v>322</v>
      </c>
      <c r="J181" s="1099"/>
      <c r="K181" s="202"/>
      <c r="L181" s="203" t="s">
        <v>323</v>
      </c>
      <c r="M181" s="1092" t="s">
        <v>355</v>
      </c>
      <c r="N181" s="1093"/>
      <c r="O181" s="205" t="s">
        <v>322</v>
      </c>
      <c r="P181" s="204" t="s">
        <v>341</v>
      </c>
      <c r="Q181" s="205" t="s">
        <v>225</v>
      </c>
      <c r="R181" s="1084" t="s">
        <v>322</v>
      </c>
      <c r="S181" s="1085"/>
      <c r="T181" s="206"/>
    </row>
    <row r="182" spans="3:20" ht="15.75">
      <c r="C182" s="207" t="s">
        <v>356</v>
      </c>
      <c r="D182" s="1090" t="s">
        <v>357</v>
      </c>
      <c r="E182" s="1091"/>
      <c r="F182" s="201" t="s">
        <v>358</v>
      </c>
      <c r="G182" s="209" t="s">
        <v>359</v>
      </c>
      <c r="H182" s="210" t="s">
        <v>360</v>
      </c>
      <c r="I182" s="201" t="s">
        <v>356</v>
      </c>
      <c r="J182" s="201" t="s">
        <v>328</v>
      </c>
      <c r="K182" s="202"/>
      <c r="L182" s="412" t="s">
        <v>356</v>
      </c>
      <c r="M182" s="1092" t="s">
        <v>357</v>
      </c>
      <c r="N182" s="1093"/>
      <c r="O182" s="205" t="s">
        <v>358</v>
      </c>
      <c r="P182" s="70" t="s">
        <v>359</v>
      </c>
      <c r="Q182" s="211" t="s">
        <v>360</v>
      </c>
      <c r="R182" s="205" t="s">
        <v>356</v>
      </c>
      <c r="S182" s="205" t="s">
        <v>328</v>
      </c>
      <c r="T182" s="206"/>
    </row>
    <row r="183" spans="3:20" ht="16.5" thickBot="1">
      <c r="C183" s="212"/>
      <c r="D183" s="213"/>
      <c r="E183" s="214"/>
      <c r="F183" s="201" t="s">
        <v>361</v>
      </c>
      <c r="G183" s="209"/>
      <c r="H183" s="215"/>
      <c r="I183" s="201" t="s">
        <v>337</v>
      </c>
      <c r="J183" s="201" t="s">
        <v>337</v>
      </c>
      <c r="K183" s="216"/>
      <c r="L183" s="127"/>
      <c r="M183" s="217"/>
      <c r="N183" s="218"/>
      <c r="O183" s="205" t="s">
        <v>361</v>
      </c>
      <c r="P183" s="70"/>
      <c r="Q183" s="219"/>
      <c r="R183" s="205" t="s">
        <v>337</v>
      </c>
      <c r="S183" s="205" t="s">
        <v>337</v>
      </c>
      <c r="T183" s="220"/>
    </row>
    <row r="184" spans="3:20" ht="16.5" thickBot="1">
      <c r="C184" s="221" t="s">
        <v>261</v>
      </c>
      <c r="D184" s="1094" t="s">
        <v>262</v>
      </c>
      <c r="E184" s="1095"/>
      <c r="F184" s="223" t="s">
        <v>263</v>
      </c>
      <c r="G184" s="222" t="s">
        <v>264</v>
      </c>
      <c r="H184" s="223" t="s">
        <v>265</v>
      </c>
      <c r="I184" s="223" t="s">
        <v>362</v>
      </c>
      <c r="J184" s="223" t="s">
        <v>363</v>
      </c>
      <c r="K184" s="224" t="s">
        <v>364</v>
      </c>
      <c r="L184" s="178" t="s">
        <v>261</v>
      </c>
      <c r="M184" s="1096" t="s">
        <v>262</v>
      </c>
      <c r="N184" s="1097"/>
      <c r="O184" s="179" t="s">
        <v>263</v>
      </c>
      <c r="P184" s="180" t="s">
        <v>264</v>
      </c>
      <c r="Q184" s="179" t="s">
        <v>265</v>
      </c>
      <c r="R184" s="179" t="s">
        <v>362</v>
      </c>
      <c r="S184" s="179" t="s">
        <v>363</v>
      </c>
      <c r="T184" s="225" t="s">
        <v>364</v>
      </c>
    </row>
    <row r="185" spans="3:20" ht="15.75">
      <c r="C185" s="67"/>
      <c r="D185" s="52"/>
      <c r="E185" s="53"/>
      <c r="F185" s="68"/>
      <c r="G185" s="52"/>
      <c r="H185" s="68"/>
      <c r="I185" s="68"/>
      <c r="J185" s="68"/>
      <c r="K185" s="85"/>
      <c r="L185" s="67"/>
      <c r="M185" s="52"/>
      <c r="N185" s="53"/>
      <c r="O185" s="68"/>
      <c r="P185" s="52"/>
      <c r="Q185" s="68"/>
      <c r="R185" s="68"/>
      <c r="S185" s="68"/>
      <c r="T185" s="85"/>
    </row>
    <row r="186" spans="3:20" ht="15.75">
      <c r="C186" s="107"/>
      <c r="D186" s="234"/>
      <c r="E186" s="235"/>
      <c r="F186" s="211"/>
      <c r="G186" s="236"/>
      <c r="H186" s="211"/>
      <c r="I186" s="409"/>
      <c r="J186" s="238"/>
      <c r="K186" s="239"/>
      <c r="L186" s="107"/>
      <c r="M186" s="234"/>
      <c r="N186" s="235"/>
      <c r="O186" s="211"/>
      <c r="P186" s="236"/>
      <c r="Q186" s="211"/>
      <c r="R186" s="237"/>
      <c r="S186" s="238"/>
      <c r="T186" s="239"/>
    </row>
    <row r="187" spans="3:20" ht="15.75">
      <c r="C187" s="107"/>
      <c r="D187" s="234"/>
      <c r="E187" s="235"/>
      <c r="F187" s="211"/>
      <c r="G187" s="236"/>
      <c r="H187" s="211"/>
      <c r="I187" s="409"/>
      <c r="J187" s="238"/>
      <c r="K187" s="239"/>
      <c r="L187" s="107"/>
      <c r="M187" s="234"/>
      <c r="N187" s="235"/>
      <c r="O187" s="211"/>
      <c r="P187" s="236"/>
      <c r="Q187" s="211"/>
      <c r="R187" s="237"/>
      <c r="S187" s="238"/>
      <c r="T187" s="239"/>
    </row>
    <row r="188" spans="3:20" ht="15.75">
      <c r="C188" s="107"/>
      <c r="D188" s="234"/>
      <c r="E188" s="235"/>
      <c r="F188" s="211"/>
      <c r="G188" s="236"/>
      <c r="H188" s="211"/>
      <c r="I188" s="409"/>
      <c r="J188" s="238"/>
      <c r="K188" s="239"/>
      <c r="L188" s="107"/>
      <c r="M188" s="234"/>
      <c r="N188" s="235"/>
      <c r="O188" s="211"/>
      <c r="P188" s="236"/>
      <c r="Q188" s="211"/>
      <c r="R188" s="237"/>
      <c r="S188" s="238"/>
      <c r="T188" s="239"/>
    </row>
    <row r="189" spans="3:20" ht="15.75">
      <c r="C189" s="107"/>
      <c r="D189" s="234"/>
      <c r="E189" s="235"/>
      <c r="F189" s="211"/>
      <c r="G189" s="236"/>
      <c r="H189" s="211"/>
      <c r="I189" s="409"/>
      <c r="J189" s="238"/>
      <c r="K189" s="239"/>
      <c r="L189" s="107"/>
      <c r="M189" s="234"/>
      <c r="N189" s="235"/>
      <c r="O189" s="211"/>
      <c r="P189" s="236"/>
      <c r="Q189" s="211"/>
      <c r="R189" s="237"/>
      <c r="S189" s="238"/>
      <c r="T189" s="239"/>
    </row>
    <row r="190" spans="3:20" ht="15.75">
      <c r="C190" s="107"/>
      <c r="D190" s="234"/>
      <c r="E190" s="235"/>
      <c r="F190" s="211"/>
      <c r="G190" s="236"/>
      <c r="H190" s="211"/>
      <c r="I190" s="409"/>
      <c r="J190" s="238"/>
      <c r="K190" s="239"/>
      <c r="L190" s="107"/>
      <c r="M190" s="234"/>
      <c r="N190" s="235"/>
      <c r="O190" s="211"/>
      <c r="P190" s="236"/>
      <c r="Q190" s="211"/>
      <c r="R190" s="237"/>
      <c r="S190" s="238"/>
      <c r="T190" s="239"/>
    </row>
    <row r="191" spans="3:20" ht="15.75">
      <c r="C191" s="107"/>
      <c r="D191" s="234"/>
      <c r="E191" s="235"/>
      <c r="F191" s="211"/>
      <c r="G191" s="236"/>
      <c r="H191" s="211"/>
      <c r="I191" s="409"/>
      <c r="J191" s="238"/>
      <c r="K191" s="239"/>
      <c r="L191" s="107"/>
      <c r="M191" s="234"/>
      <c r="N191" s="235"/>
      <c r="O191" s="211"/>
      <c r="P191" s="236"/>
      <c r="Q191" s="211"/>
      <c r="R191" s="237"/>
      <c r="S191" s="238"/>
      <c r="T191" s="239"/>
    </row>
    <row r="192" spans="3:20" ht="15.75">
      <c r="C192" s="107"/>
      <c r="D192" s="234"/>
      <c r="E192" s="235"/>
      <c r="F192" s="211"/>
      <c r="G192" s="236"/>
      <c r="H192" s="211"/>
      <c r="I192" s="409"/>
      <c r="J192" s="238"/>
      <c r="K192" s="239"/>
      <c r="L192" s="107"/>
      <c r="M192" s="234"/>
      <c r="N192" s="235"/>
      <c r="O192" s="211"/>
      <c r="P192" s="236"/>
      <c r="Q192" s="211"/>
      <c r="R192" s="237"/>
      <c r="S192" s="238"/>
      <c r="T192" s="239"/>
    </row>
    <row r="193" spans="3:20" ht="16.5" thickBot="1">
      <c r="C193" s="240"/>
      <c r="D193" s="76"/>
      <c r="E193" s="79"/>
      <c r="F193" s="74"/>
      <c r="G193" s="241"/>
      <c r="H193" s="74"/>
      <c r="I193" s="242"/>
      <c r="J193" s="170"/>
      <c r="K193" s="243"/>
      <c r="L193" s="244"/>
      <c r="M193" s="76"/>
      <c r="N193" s="79"/>
      <c r="O193" s="74"/>
      <c r="P193" s="76"/>
      <c r="Q193" s="74"/>
      <c r="R193" s="74"/>
      <c r="S193" s="74"/>
      <c r="T193" s="117"/>
    </row>
    <row r="194" ht="16.5" thickTop="1"/>
    <row r="195" ht="16.5" thickBot="1"/>
    <row r="196" spans="3:20" ht="16.5" thickTop="1">
      <c r="C196" s="175"/>
      <c r="D196" s="252"/>
      <c r="E196" s="1061"/>
      <c r="F196" s="1058"/>
      <c r="G196" s="176"/>
      <c r="H196" s="82"/>
      <c r="I196" s="255"/>
      <c r="J196" s="255"/>
      <c r="K196" s="177"/>
      <c r="L196" s="175"/>
      <c r="M196" s="176"/>
      <c r="N196" s="1057"/>
      <c r="O196" s="1058"/>
      <c r="P196" s="176"/>
      <c r="Q196" s="82"/>
      <c r="R196" s="255"/>
      <c r="S196" s="255"/>
      <c r="T196" s="177"/>
    </row>
    <row r="197" spans="3:20" ht="15.75">
      <c r="C197" s="203" t="s">
        <v>366</v>
      </c>
      <c r="D197" s="211" t="s">
        <v>367</v>
      </c>
      <c r="E197" s="1062"/>
      <c r="F197" s="1060"/>
      <c r="G197" s="204" t="s">
        <v>341</v>
      </c>
      <c r="H197" s="205" t="s">
        <v>225</v>
      </c>
      <c r="I197" s="205" t="s">
        <v>225</v>
      </c>
      <c r="J197" s="205"/>
      <c r="K197" s="256" t="s">
        <v>225</v>
      </c>
      <c r="L197" s="203" t="s">
        <v>366</v>
      </c>
      <c r="M197" s="208"/>
      <c r="N197" s="1059"/>
      <c r="O197" s="1060"/>
      <c r="P197" s="204" t="s">
        <v>368</v>
      </c>
      <c r="Q197" s="205" t="s">
        <v>225</v>
      </c>
      <c r="R197" s="205" t="s">
        <v>225</v>
      </c>
      <c r="S197" s="205"/>
      <c r="T197" s="256" t="s">
        <v>225</v>
      </c>
    </row>
    <row r="198" spans="3:20" ht="15.75">
      <c r="C198" s="203"/>
      <c r="D198" s="211" t="s">
        <v>369</v>
      </c>
      <c r="E198" s="68" t="s">
        <v>262</v>
      </c>
      <c r="F198" s="258" t="s">
        <v>364</v>
      </c>
      <c r="G198" s="204"/>
      <c r="H198" s="211"/>
      <c r="I198" s="205"/>
      <c r="J198" s="205"/>
      <c r="K198" s="256" t="s">
        <v>328</v>
      </c>
      <c r="L198" s="203"/>
      <c r="M198" s="211"/>
      <c r="N198" s="68"/>
      <c r="O198" s="259"/>
      <c r="P198" s="204"/>
      <c r="Q198" s="211"/>
      <c r="R198" s="205" t="s">
        <v>368</v>
      </c>
      <c r="S198" s="205"/>
      <c r="T198" s="256" t="s">
        <v>328</v>
      </c>
    </row>
    <row r="199" spans="3:20" ht="16.5" thickBot="1">
      <c r="C199" s="127"/>
      <c r="D199" s="68"/>
      <c r="E199" s="211" t="s">
        <v>335</v>
      </c>
      <c r="F199" s="211" t="s">
        <v>335</v>
      </c>
      <c r="G199" s="204" t="s">
        <v>370</v>
      </c>
      <c r="H199" s="211" t="s">
        <v>360</v>
      </c>
      <c r="I199" s="205"/>
      <c r="J199" s="205"/>
      <c r="K199" s="220"/>
      <c r="L199" s="127"/>
      <c r="M199" s="68"/>
      <c r="N199" s="211" t="s">
        <v>335</v>
      </c>
      <c r="O199" s="211" t="s">
        <v>335</v>
      </c>
      <c r="P199" s="204" t="s">
        <v>371</v>
      </c>
      <c r="Q199" s="219"/>
      <c r="R199" s="205" t="s">
        <v>371</v>
      </c>
      <c r="S199" s="205"/>
      <c r="T199" s="220"/>
    </row>
    <row r="200" spans="3:20" ht="16.5" thickBot="1">
      <c r="C200" s="178" t="s">
        <v>261</v>
      </c>
      <c r="D200" s="179" t="s">
        <v>262</v>
      </c>
      <c r="E200" s="180" t="s">
        <v>263</v>
      </c>
      <c r="F200" s="179" t="s">
        <v>264</v>
      </c>
      <c r="G200" s="180" t="s">
        <v>372</v>
      </c>
      <c r="H200" s="179" t="s">
        <v>266</v>
      </c>
      <c r="I200" s="179" t="s">
        <v>373</v>
      </c>
      <c r="J200" s="179" t="s">
        <v>364</v>
      </c>
      <c r="K200" s="225" t="s">
        <v>344</v>
      </c>
      <c r="L200" s="178" t="s">
        <v>261</v>
      </c>
      <c r="M200" s="179" t="s">
        <v>262</v>
      </c>
      <c r="N200" s="180" t="s">
        <v>263</v>
      </c>
      <c r="O200" s="179" t="s">
        <v>264</v>
      </c>
      <c r="P200" s="260" t="s">
        <v>374</v>
      </c>
      <c r="Q200" s="179" t="s">
        <v>266</v>
      </c>
      <c r="R200" s="179" t="s">
        <v>373</v>
      </c>
      <c r="S200" s="179" t="s">
        <v>364</v>
      </c>
      <c r="T200" s="225" t="s">
        <v>344</v>
      </c>
    </row>
    <row r="201" spans="3:20" ht="15.75">
      <c r="C201" s="67"/>
      <c r="D201" s="68"/>
      <c r="E201" s="52"/>
      <c r="F201" s="68"/>
      <c r="G201" s="52"/>
      <c r="H201" s="68"/>
      <c r="I201" s="68"/>
      <c r="J201" s="68"/>
      <c r="K201" s="164"/>
      <c r="L201" s="67"/>
      <c r="M201" s="261"/>
      <c r="N201" s="262"/>
      <c r="O201" s="68"/>
      <c r="P201" s="52"/>
      <c r="Q201" s="68"/>
      <c r="R201" s="68"/>
      <c r="S201" s="68"/>
      <c r="T201" s="164"/>
    </row>
    <row r="202" spans="2:20" ht="15.75">
      <c r="B202" s="435">
        <v>39282</v>
      </c>
      <c r="C202" s="67"/>
      <c r="D202" s="68"/>
      <c r="E202" s="52"/>
      <c r="F202" s="68"/>
      <c r="G202" s="52"/>
      <c r="H202" s="68"/>
      <c r="I202" s="68"/>
      <c r="J202" s="68"/>
      <c r="K202" s="164"/>
      <c r="L202" s="226" t="s">
        <v>375</v>
      </c>
      <c r="M202" s="68"/>
      <c r="N202" s="52"/>
      <c r="O202" s="68"/>
      <c r="P202" s="52"/>
      <c r="Q202" s="68"/>
      <c r="R202" s="68"/>
      <c r="S202" s="68"/>
      <c r="T202" s="164"/>
    </row>
    <row r="203" spans="3:20" ht="15.75">
      <c r="C203" s="138" t="s">
        <v>376</v>
      </c>
      <c r="D203" s="68"/>
      <c r="E203" s="52"/>
      <c r="F203" s="68"/>
      <c r="G203" s="52"/>
      <c r="H203" s="68"/>
      <c r="I203" s="68"/>
      <c r="J203" s="68"/>
      <c r="K203" s="164"/>
      <c r="L203" s="226" t="s">
        <v>452</v>
      </c>
      <c r="M203" s="68"/>
      <c r="N203" s="52"/>
      <c r="O203" s="68"/>
      <c r="P203" s="52"/>
      <c r="Q203" s="68"/>
      <c r="R203" s="68"/>
      <c r="S203" s="68"/>
      <c r="T203" s="164"/>
    </row>
    <row r="204" spans="3:20" ht="15.75">
      <c r="C204" s="138"/>
      <c r="D204" s="68"/>
      <c r="E204" s="52"/>
      <c r="F204" s="68"/>
      <c r="G204" s="52"/>
      <c r="H204" s="68"/>
      <c r="I204" s="68"/>
      <c r="J204" s="68"/>
      <c r="K204" s="164"/>
      <c r="L204" s="325" t="s">
        <v>609</v>
      </c>
      <c r="M204" s="165">
        <v>1.5</v>
      </c>
      <c r="N204" s="75">
        <v>17.25</v>
      </c>
      <c r="O204" s="75">
        <v>9</v>
      </c>
      <c r="P204" s="75">
        <f aca="true" t="shared" si="5" ref="P204:P209">(M204+N204)/2*O204</f>
        <v>84.375</v>
      </c>
      <c r="Q204" s="68">
        <v>1</v>
      </c>
      <c r="R204" s="167">
        <f aca="true" t="shared" si="6" ref="R204:R209">P204*Q204</f>
        <v>84.375</v>
      </c>
      <c r="S204" s="167"/>
      <c r="T204" s="164"/>
    </row>
    <row r="205" spans="3:20" ht="15.75">
      <c r="C205" s="390"/>
      <c r="D205" s="68"/>
      <c r="E205" s="265"/>
      <c r="F205" s="266"/>
      <c r="G205" s="267"/>
      <c r="H205" s="266"/>
      <c r="I205" s="266"/>
      <c r="J205" s="268"/>
      <c r="K205" s="269"/>
      <c r="L205" s="325" t="s">
        <v>610</v>
      </c>
      <c r="M205" s="231">
        <v>2.55</v>
      </c>
      <c r="N205" s="347">
        <v>2.55</v>
      </c>
      <c r="O205" s="347">
        <v>6.45</v>
      </c>
      <c r="P205" s="75">
        <f t="shared" si="5"/>
        <v>16.447499999999998</v>
      </c>
      <c r="Q205" s="68">
        <v>1</v>
      </c>
      <c r="R205" s="167">
        <f t="shared" si="6"/>
        <v>16.447499999999998</v>
      </c>
      <c r="S205" s="167"/>
      <c r="T205" s="164"/>
    </row>
    <row r="206" spans="3:20" ht="15.75">
      <c r="C206" s="390"/>
      <c r="D206" s="68"/>
      <c r="E206" s="265"/>
      <c r="F206" s="266"/>
      <c r="G206" s="267"/>
      <c r="H206" s="266"/>
      <c r="I206" s="266"/>
      <c r="J206" s="268"/>
      <c r="K206" s="269"/>
      <c r="L206" s="263"/>
      <c r="M206" s="231">
        <v>17.4</v>
      </c>
      <c r="N206" s="347">
        <v>32.4</v>
      </c>
      <c r="O206" s="347">
        <v>9</v>
      </c>
      <c r="P206" s="75">
        <f t="shared" si="5"/>
        <v>224.1</v>
      </c>
      <c r="Q206" s="68">
        <v>1</v>
      </c>
      <c r="R206" s="167">
        <f t="shared" si="6"/>
        <v>224.1</v>
      </c>
      <c r="S206" s="167"/>
      <c r="T206" s="164"/>
    </row>
    <row r="207" spans="3:20" ht="15.75">
      <c r="C207" s="390"/>
      <c r="D207" s="68"/>
      <c r="E207" s="265"/>
      <c r="F207" s="266"/>
      <c r="G207" s="267"/>
      <c r="H207" s="266"/>
      <c r="I207" s="266"/>
      <c r="J207" s="268"/>
      <c r="K207" s="269"/>
      <c r="L207" s="325" t="s">
        <v>611</v>
      </c>
      <c r="M207" s="165">
        <v>1.5</v>
      </c>
      <c r="N207" s="75">
        <v>17.25</v>
      </c>
      <c r="O207" s="75">
        <v>9</v>
      </c>
      <c r="P207" s="75">
        <f t="shared" si="5"/>
        <v>84.375</v>
      </c>
      <c r="Q207" s="68">
        <v>1</v>
      </c>
      <c r="R207" s="167">
        <f t="shared" si="6"/>
        <v>84.375</v>
      </c>
      <c r="S207" s="167"/>
      <c r="T207" s="164"/>
    </row>
    <row r="208" spans="3:20" ht="15.75">
      <c r="C208" s="390"/>
      <c r="D208" s="68"/>
      <c r="E208" s="265"/>
      <c r="F208" s="266"/>
      <c r="G208" s="267"/>
      <c r="H208" s="266"/>
      <c r="I208" s="266"/>
      <c r="J208" s="268"/>
      <c r="K208" s="269"/>
      <c r="L208" s="325" t="s">
        <v>612</v>
      </c>
      <c r="M208" s="231">
        <v>2.55</v>
      </c>
      <c r="N208" s="347">
        <v>2.55</v>
      </c>
      <c r="O208" s="347">
        <v>6.45</v>
      </c>
      <c r="P208" s="75">
        <f t="shared" si="5"/>
        <v>16.447499999999998</v>
      </c>
      <c r="Q208" s="68">
        <v>1</v>
      </c>
      <c r="R208" s="167">
        <f t="shared" si="6"/>
        <v>16.447499999999998</v>
      </c>
      <c r="S208" s="167"/>
      <c r="T208" s="164"/>
    </row>
    <row r="209" spans="3:20" ht="15.75">
      <c r="C209" s="390"/>
      <c r="D209" s="68"/>
      <c r="E209" s="265"/>
      <c r="F209" s="266"/>
      <c r="G209" s="267"/>
      <c r="H209" s="266"/>
      <c r="I209" s="266"/>
      <c r="J209" s="268"/>
      <c r="K209" s="391"/>
      <c r="L209" s="325"/>
      <c r="M209" s="231">
        <v>17.4</v>
      </c>
      <c r="N209" s="347">
        <v>32.4</v>
      </c>
      <c r="O209" s="347">
        <v>9</v>
      </c>
      <c r="P209" s="75">
        <f t="shared" si="5"/>
        <v>224.1</v>
      </c>
      <c r="Q209" s="68">
        <v>1</v>
      </c>
      <c r="R209" s="167">
        <f t="shared" si="6"/>
        <v>224.1</v>
      </c>
      <c r="S209" s="165">
        <f>SUM(R204:R209)</f>
        <v>649.845</v>
      </c>
      <c r="T209" s="168">
        <f>S209</f>
        <v>649.845</v>
      </c>
    </row>
    <row r="210" spans="3:20" ht="15.75">
      <c r="C210" s="264"/>
      <c r="D210" s="393"/>
      <c r="E210" s="265"/>
      <c r="F210" s="266"/>
      <c r="G210" s="267"/>
      <c r="H210" s="266"/>
      <c r="I210" s="266"/>
      <c r="J210" s="268"/>
      <c r="K210" s="391"/>
      <c r="L210" s="107"/>
      <c r="M210" s="165"/>
      <c r="N210" s="75"/>
      <c r="O210" s="165"/>
      <c r="P210" s="75"/>
      <c r="Q210" s="68"/>
      <c r="R210" s="167"/>
      <c r="S210" s="167"/>
      <c r="T210" s="168"/>
    </row>
    <row r="211" spans="3:20" ht="15.75">
      <c r="C211" s="264"/>
      <c r="D211" s="68"/>
      <c r="E211" s="265"/>
      <c r="F211" s="266"/>
      <c r="G211" s="267"/>
      <c r="H211" s="266"/>
      <c r="I211" s="266"/>
      <c r="J211" s="268"/>
      <c r="K211" s="391"/>
      <c r="L211" s="138" t="s">
        <v>377</v>
      </c>
      <c r="M211" s="165"/>
      <c r="N211" s="75"/>
      <c r="O211" s="165"/>
      <c r="P211" s="75"/>
      <c r="Q211" s="68"/>
      <c r="R211" s="165"/>
      <c r="S211" s="165"/>
      <c r="T211" s="168">
        <f>T209</f>
        <v>649.845</v>
      </c>
    </row>
    <row r="212" spans="3:20" ht="15.75">
      <c r="C212" s="264"/>
      <c r="D212" s="68"/>
      <c r="E212" s="265"/>
      <c r="F212" s="266"/>
      <c r="G212" s="267"/>
      <c r="H212" s="266"/>
      <c r="I212" s="266"/>
      <c r="J212" s="268"/>
      <c r="K212" s="269"/>
      <c r="L212" s="107"/>
      <c r="M212" s="165"/>
      <c r="N212" s="75"/>
      <c r="O212" s="165"/>
      <c r="P212" s="75"/>
      <c r="Q212" s="68"/>
      <c r="R212" s="165"/>
      <c r="S212" s="165"/>
      <c r="T212" s="164"/>
    </row>
    <row r="213" spans="3:20" ht="15.75">
      <c r="C213" s="264"/>
      <c r="D213" s="68"/>
      <c r="E213" s="265"/>
      <c r="F213" s="266"/>
      <c r="G213" s="267"/>
      <c r="H213" s="266"/>
      <c r="I213" s="266"/>
      <c r="J213" s="268"/>
      <c r="K213" s="164"/>
      <c r="L213" s="107"/>
      <c r="M213" s="165"/>
      <c r="N213" s="75"/>
      <c r="O213" s="165"/>
      <c r="P213" s="75"/>
      <c r="Q213" s="68"/>
      <c r="R213" s="165"/>
      <c r="S213" s="165"/>
      <c r="T213" s="164"/>
    </row>
    <row r="214" spans="3:20" ht="15.75">
      <c r="C214" s="392"/>
      <c r="D214" s="68"/>
      <c r="E214" s="265"/>
      <c r="F214" s="266"/>
      <c r="G214" s="267"/>
      <c r="H214" s="266"/>
      <c r="I214" s="266"/>
      <c r="J214" s="268"/>
      <c r="K214" s="164"/>
      <c r="L214" s="138" t="s">
        <v>378</v>
      </c>
      <c r="M214" s="165"/>
      <c r="N214" s="75"/>
      <c r="O214" s="165"/>
      <c r="P214" s="75"/>
      <c r="Q214" s="68"/>
      <c r="R214" s="165"/>
      <c r="S214" s="165"/>
      <c r="T214" s="168"/>
    </row>
    <row r="215" spans="3:20" ht="15.75">
      <c r="C215" s="69"/>
      <c r="D215" s="68"/>
      <c r="E215" s="265"/>
      <c r="F215" s="266"/>
      <c r="G215" s="267"/>
      <c r="H215" s="266"/>
      <c r="I215" s="266"/>
      <c r="J215" s="268"/>
      <c r="K215" s="164"/>
      <c r="L215" s="93"/>
      <c r="M215" s="165">
        <v>1.5</v>
      </c>
      <c r="N215" s="75">
        <v>1</v>
      </c>
      <c r="O215" s="165">
        <v>1</v>
      </c>
      <c r="P215" s="75">
        <f>M215*N215*O215</f>
        <v>1.5</v>
      </c>
      <c r="Q215" s="68">
        <v>1</v>
      </c>
      <c r="R215" s="165">
        <f>Q215*P215</f>
        <v>1.5</v>
      </c>
      <c r="S215" s="165"/>
      <c r="T215" s="168"/>
    </row>
    <row r="216" spans="3:20" ht="15.75">
      <c r="C216" s="67"/>
      <c r="D216" s="68"/>
      <c r="E216" s="52"/>
      <c r="F216" s="68"/>
      <c r="G216" s="52"/>
      <c r="H216" s="266"/>
      <c r="I216" s="266"/>
      <c r="J216" s="68"/>
      <c r="K216" s="164"/>
      <c r="L216" s="93"/>
      <c r="M216" s="165">
        <v>2.55</v>
      </c>
      <c r="N216" s="75">
        <v>1</v>
      </c>
      <c r="O216" s="165">
        <v>1</v>
      </c>
      <c r="P216" s="75">
        <f>M216*N216*O216</f>
        <v>2.55</v>
      </c>
      <c r="Q216" s="68">
        <v>1</v>
      </c>
      <c r="R216" s="165">
        <f>Q216*P216</f>
        <v>2.55</v>
      </c>
      <c r="S216" s="165"/>
      <c r="T216" s="168"/>
    </row>
    <row r="217" spans="3:20" ht="15.75">
      <c r="C217" s="67"/>
      <c r="D217" s="68"/>
      <c r="E217" s="52"/>
      <c r="F217" s="68"/>
      <c r="G217" s="52"/>
      <c r="H217" s="266"/>
      <c r="I217" s="266"/>
      <c r="J217" s="68"/>
      <c r="K217" s="164"/>
      <c r="L217" s="93"/>
      <c r="M217" s="165">
        <v>17.4</v>
      </c>
      <c r="N217" s="75">
        <v>1</v>
      </c>
      <c r="O217" s="165">
        <v>1</v>
      </c>
      <c r="P217" s="75">
        <f>M217*N217*O217</f>
        <v>17.4</v>
      </c>
      <c r="Q217" s="68">
        <v>1</v>
      </c>
      <c r="R217" s="165">
        <f>Q217*P217</f>
        <v>17.4</v>
      </c>
      <c r="S217" s="165"/>
      <c r="T217" s="168"/>
    </row>
    <row r="218" spans="3:20" ht="15.75">
      <c r="C218" s="67"/>
      <c r="D218" s="68"/>
      <c r="E218" s="52"/>
      <c r="F218" s="68"/>
      <c r="G218" s="52"/>
      <c r="H218" s="266"/>
      <c r="I218" s="266"/>
      <c r="J218" s="68"/>
      <c r="K218" s="164"/>
      <c r="L218" s="93"/>
      <c r="M218" s="165">
        <v>11.909</v>
      </c>
      <c r="N218" s="75">
        <v>1</v>
      </c>
      <c r="O218" s="165">
        <v>1</v>
      </c>
      <c r="P218" s="75">
        <f>M218*N218*O218</f>
        <v>11.909</v>
      </c>
      <c r="Q218" s="68">
        <v>8</v>
      </c>
      <c r="R218" s="165">
        <f>Q218*P218</f>
        <v>95.272</v>
      </c>
      <c r="S218" s="165"/>
      <c r="T218" s="168"/>
    </row>
    <row r="219" spans="3:20" ht="15.75">
      <c r="C219" s="67"/>
      <c r="D219" s="68"/>
      <c r="E219" s="52"/>
      <c r="F219" s="68"/>
      <c r="G219" s="52"/>
      <c r="H219" s="266"/>
      <c r="I219" s="266"/>
      <c r="J219" s="68"/>
      <c r="K219" s="164"/>
      <c r="L219" s="93"/>
      <c r="M219" s="165">
        <v>8.509</v>
      </c>
      <c r="N219" s="75">
        <v>1</v>
      </c>
      <c r="O219" s="165">
        <v>1</v>
      </c>
      <c r="P219" s="75">
        <f>M219*N219*O219</f>
        <v>8.509</v>
      </c>
      <c r="Q219" s="68">
        <v>2</v>
      </c>
      <c r="R219" s="165">
        <f>Q219*P219</f>
        <v>17.018</v>
      </c>
      <c r="S219" s="165">
        <f>SUM(R215:R219)</f>
        <v>133.74</v>
      </c>
      <c r="T219" s="168">
        <f>S219</f>
        <v>133.74</v>
      </c>
    </row>
    <row r="220" spans="3:20" ht="15.75">
      <c r="C220" s="67"/>
      <c r="D220" s="68"/>
      <c r="E220" s="52"/>
      <c r="F220" s="68"/>
      <c r="G220" s="52"/>
      <c r="H220" s="266"/>
      <c r="I220" s="266"/>
      <c r="J220" s="68"/>
      <c r="K220" s="164"/>
      <c r="L220" s="93"/>
      <c r="M220" s="165"/>
      <c r="N220" s="75"/>
      <c r="O220" s="165"/>
      <c r="P220" s="75"/>
      <c r="Q220" s="68"/>
      <c r="R220" s="165"/>
      <c r="S220" s="165"/>
      <c r="T220" s="168"/>
    </row>
    <row r="221" spans="3:20" ht="15.75">
      <c r="C221" s="93"/>
      <c r="D221" s="68"/>
      <c r="E221" s="52"/>
      <c r="F221" s="68"/>
      <c r="G221" s="52"/>
      <c r="H221" s="266"/>
      <c r="I221" s="266"/>
      <c r="J221" s="68"/>
      <c r="K221" s="164"/>
      <c r="L221" s="93"/>
      <c r="M221" s="165"/>
      <c r="N221" s="75"/>
      <c r="O221" s="165"/>
      <c r="P221" s="75"/>
      <c r="Q221" s="68"/>
      <c r="R221" s="165"/>
      <c r="S221" s="165"/>
      <c r="T221" s="168"/>
    </row>
    <row r="222" spans="3:20" ht="15.75">
      <c r="C222" s="93"/>
      <c r="D222" s="68"/>
      <c r="E222" s="52"/>
      <c r="F222" s="68"/>
      <c r="G222" s="52"/>
      <c r="H222" s="266"/>
      <c r="I222" s="266"/>
      <c r="J222" s="68"/>
      <c r="K222" s="164"/>
      <c r="L222" s="138"/>
      <c r="M222" s="165"/>
      <c r="N222" s="75"/>
      <c r="O222" s="165"/>
      <c r="P222" s="75"/>
      <c r="Q222" s="68"/>
      <c r="R222" s="165"/>
      <c r="S222" s="165"/>
      <c r="T222" s="395">
        <f>SUM(T219:T221)</f>
        <v>133.74</v>
      </c>
    </row>
    <row r="223" spans="3:20" ht="15.75">
      <c r="C223" s="93"/>
      <c r="D223" s="68"/>
      <c r="E223" s="52"/>
      <c r="F223" s="68"/>
      <c r="G223" s="52"/>
      <c r="H223" s="266"/>
      <c r="I223" s="266"/>
      <c r="J223" s="68"/>
      <c r="K223" s="164"/>
      <c r="L223" s="138" t="s">
        <v>379</v>
      </c>
      <c r="M223" s="75"/>
      <c r="N223" s="165"/>
      <c r="O223" s="165"/>
      <c r="P223" s="75"/>
      <c r="Q223" s="68"/>
      <c r="R223" s="165"/>
      <c r="S223" s="165"/>
      <c r="T223" s="168"/>
    </row>
    <row r="224" spans="3:20" ht="15.75">
      <c r="C224" s="67"/>
      <c r="D224" s="68"/>
      <c r="E224" s="52"/>
      <c r="F224" s="68"/>
      <c r="G224" s="52"/>
      <c r="H224" s="68"/>
      <c r="I224" s="68"/>
      <c r="J224" s="68"/>
      <c r="K224" s="164"/>
      <c r="L224" s="325"/>
      <c r="M224" s="124">
        <v>17.25</v>
      </c>
      <c r="N224" s="68">
        <v>1</v>
      </c>
      <c r="O224" s="68">
        <v>1</v>
      </c>
      <c r="P224" s="68">
        <f>M224*N224*O224</f>
        <v>17.25</v>
      </c>
      <c r="Q224" s="68">
        <v>2</v>
      </c>
      <c r="R224" s="68">
        <f>P224*Q224</f>
        <v>34.5</v>
      </c>
      <c r="S224" s="165"/>
      <c r="T224" s="168"/>
    </row>
    <row r="225" spans="3:20" ht="15.75">
      <c r="C225" s="67"/>
      <c r="D225" s="68"/>
      <c r="E225" s="52"/>
      <c r="F225" s="68"/>
      <c r="G225" s="52"/>
      <c r="H225" s="68"/>
      <c r="I225" s="68"/>
      <c r="J225" s="68"/>
      <c r="K225" s="164"/>
      <c r="L225" s="263"/>
      <c r="M225" s="124">
        <v>34.95</v>
      </c>
      <c r="N225" s="68">
        <v>1</v>
      </c>
      <c r="O225" s="68">
        <v>1</v>
      </c>
      <c r="P225" s="68">
        <f>M225*N225*O225</f>
        <v>34.95</v>
      </c>
      <c r="Q225" s="68">
        <v>2</v>
      </c>
      <c r="R225" s="68">
        <f>P225*Q225</f>
        <v>69.9</v>
      </c>
      <c r="S225" s="165">
        <f>SUM(R224:R225)</f>
        <v>104.4</v>
      </c>
      <c r="T225" s="168">
        <f>S225</f>
        <v>104.4</v>
      </c>
    </row>
    <row r="226" spans="3:20" ht="15.75">
      <c r="C226" s="138" t="s">
        <v>453</v>
      </c>
      <c r="D226" s="68"/>
      <c r="E226" s="52"/>
      <c r="F226" s="68"/>
      <c r="G226" s="52"/>
      <c r="H226" s="68"/>
      <c r="I226" s="68"/>
      <c r="J226" s="68"/>
      <c r="K226" s="164"/>
      <c r="L226" s="263"/>
      <c r="M226" s="165"/>
      <c r="N226" s="75"/>
      <c r="O226" s="165"/>
      <c r="P226" s="75"/>
      <c r="Q226" s="68"/>
      <c r="R226" s="165"/>
      <c r="S226" s="165"/>
      <c r="T226" s="395">
        <f>SUM(T224:T225)</f>
        <v>104.4</v>
      </c>
    </row>
    <row r="227" spans="3:20" ht="15.75">
      <c r="C227" s="67"/>
      <c r="D227" s="68"/>
      <c r="E227" s="52"/>
      <c r="F227" s="68"/>
      <c r="G227" s="52"/>
      <c r="H227" s="68"/>
      <c r="I227" s="68"/>
      <c r="J227" s="68"/>
      <c r="K227" s="164"/>
      <c r="L227" s="144"/>
      <c r="M227" s="165"/>
      <c r="N227" s="75"/>
      <c r="O227" s="165"/>
      <c r="P227" s="75"/>
      <c r="Q227" s="68"/>
      <c r="R227" s="165"/>
      <c r="S227" s="165"/>
      <c r="T227" s="168"/>
    </row>
    <row r="228" spans="3:20" ht="15.75">
      <c r="C228" s="67"/>
      <c r="D228" s="68"/>
      <c r="E228" s="52"/>
      <c r="F228" s="68"/>
      <c r="G228" s="52"/>
      <c r="H228" s="68"/>
      <c r="I228" s="68"/>
      <c r="J228" s="68"/>
      <c r="K228" s="164"/>
      <c r="L228" s="144" t="s">
        <v>613</v>
      </c>
      <c r="M228" s="165"/>
      <c r="N228" s="68"/>
      <c r="O228" s="75"/>
      <c r="P228" s="75"/>
      <c r="Q228" s="68"/>
      <c r="R228" s="167"/>
      <c r="S228" s="165"/>
      <c r="T228" s="168"/>
    </row>
    <row r="229" spans="3:20" ht="15.75">
      <c r="C229" s="67"/>
      <c r="D229" s="68"/>
      <c r="E229" s="52"/>
      <c r="F229" s="68"/>
      <c r="G229" s="52"/>
      <c r="H229" s="68"/>
      <c r="I229" s="68"/>
      <c r="J229" s="68"/>
      <c r="K229" s="164"/>
      <c r="L229" s="144"/>
      <c r="M229" s="165">
        <v>11.91</v>
      </c>
      <c r="N229" s="68">
        <v>1</v>
      </c>
      <c r="O229" s="68">
        <v>1</v>
      </c>
      <c r="P229" s="68">
        <f>M229*N229*O229</f>
        <v>11.91</v>
      </c>
      <c r="Q229" s="68">
        <v>4</v>
      </c>
      <c r="R229" s="68">
        <f>P229*Q229</f>
        <v>47.64</v>
      </c>
      <c r="S229" s="165"/>
      <c r="T229" s="168"/>
    </row>
    <row r="230" spans="3:20" ht="15.75">
      <c r="C230" s="67"/>
      <c r="D230" s="68"/>
      <c r="E230" s="52"/>
      <c r="F230" s="68"/>
      <c r="G230" s="52"/>
      <c r="H230" s="68"/>
      <c r="I230" s="68"/>
      <c r="J230" s="68"/>
      <c r="K230" s="164"/>
      <c r="L230" s="263"/>
      <c r="M230" s="165">
        <v>8.509</v>
      </c>
      <c r="N230" s="68">
        <v>1</v>
      </c>
      <c r="O230" s="68">
        <v>1</v>
      </c>
      <c r="P230" s="68">
        <f>M230*N230*O230</f>
        <v>8.509</v>
      </c>
      <c r="Q230" s="68">
        <v>2</v>
      </c>
      <c r="R230" s="68">
        <f>P230*Q230</f>
        <v>17.018</v>
      </c>
      <c r="S230" s="165">
        <f>SUM(R229:R230)</f>
        <v>64.658</v>
      </c>
      <c r="T230" s="168">
        <f>S230</f>
        <v>64.658</v>
      </c>
    </row>
    <row r="231" spans="3:20" ht="15.75">
      <c r="C231" s="138" t="s">
        <v>464</v>
      </c>
      <c r="D231" s="68"/>
      <c r="E231" s="52"/>
      <c r="F231" s="68"/>
      <c r="G231" s="52"/>
      <c r="H231" s="68"/>
      <c r="I231" s="68"/>
      <c r="J231" s="68"/>
      <c r="K231" s="164"/>
      <c r="L231" s="263"/>
      <c r="M231" s="165"/>
      <c r="N231" s="75"/>
      <c r="O231" s="165"/>
      <c r="P231" s="75"/>
      <c r="Q231" s="68"/>
      <c r="R231" s="165"/>
      <c r="S231" s="165"/>
      <c r="T231" s="168"/>
    </row>
    <row r="232" spans="3:20" ht="15.75">
      <c r="C232" s="67"/>
      <c r="D232" s="68"/>
      <c r="E232" s="52"/>
      <c r="F232" s="68"/>
      <c r="G232" s="52"/>
      <c r="H232" s="68"/>
      <c r="I232" s="68"/>
      <c r="J232" s="68"/>
      <c r="K232" s="164"/>
      <c r="L232" s="138"/>
      <c r="M232" s="165"/>
      <c r="N232" s="75"/>
      <c r="O232" s="165"/>
      <c r="P232" s="75"/>
      <c r="Q232" s="68"/>
      <c r="R232" s="165"/>
      <c r="S232" s="165"/>
      <c r="T232" s="168"/>
    </row>
    <row r="233" spans="3:20" ht="16.5" thickBot="1">
      <c r="C233" s="244"/>
      <c r="D233" s="74"/>
      <c r="E233" s="76"/>
      <c r="F233" s="74"/>
      <c r="G233" s="76"/>
      <c r="H233" s="74"/>
      <c r="I233" s="74"/>
      <c r="J233" s="74"/>
      <c r="K233" s="78"/>
      <c r="L233" s="271"/>
      <c r="M233" s="170"/>
      <c r="N233" s="171"/>
      <c r="O233" s="170"/>
      <c r="P233" s="171"/>
      <c r="Q233" s="74"/>
      <c r="R233" s="170"/>
      <c r="S233" s="170"/>
      <c r="T233" s="272"/>
    </row>
    <row r="234" ht="16.5" thickTop="1"/>
    <row r="235" ht="16.5" thickBot="1">
      <c r="C235" s="273"/>
    </row>
    <row r="236" spans="3:20" ht="16.5" thickTop="1">
      <c r="C236" s="175"/>
      <c r="D236" s="252" t="s">
        <v>323</v>
      </c>
      <c r="E236" s="1061" t="s">
        <v>380</v>
      </c>
      <c r="F236" s="1058"/>
      <c r="G236" s="176"/>
      <c r="H236" s="82"/>
      <c r="I236" s="255"/>
      <c r="J236" s="255"/>
      <c r="K236" s="177"/>
      <c r="L236" s="175"/>
      <c r="M236" s="161" t="s">
        <v>323</v>
      </c>
      <c r="N236" s="1061" t="s">
        <v>380</v>
      </c>
      <c r="O236" s="1058"/>
      <c r="P236" s="176"/>
      <c r="Q236" s="82"/>
      <c r="R236" s="255"/>
      <c r="S236" s="255"/>
      <c r="T236" s="177"/>
    </row>
    <row r="237" spans="3:20" ht="15.75">
      <c r="C237" s="203" t="s">
        <v>366</v>
      </c>
      <c r="D237" s="211" t="s">
        <v>367</v>
      </c>
      <c r="E237" s="1062" t="s">
        <v>381</v>
      </c>
      <c r="F237" s="1060"/>
      <c r="G237" s="204" t="s">
        <v>368</v>
      </c>
      <c r="H237" s="205" t="s">
        <v>225</v>
      </c>
      <c r="I237" s="205" t="s">
        <v>225</v>
      </c>
      <c r="J237" s="205"/>
      <c r="K237" s="256" t="s">
        <v>225</v>
      </c>
      <c r="L237" s="203" t="s">
        <v>366</v>
      </c>
      <c r="M237" s="211" t="s">
        <v>367</v>
      </c>
      <c r="N237" s="1062" t="s">
        <v>381</v>
      </c>
      <c r="O237" s="1060"/>
      <c r="P237" s="204"/>
      <c r="Q237" s="205" t="s">
        <v>225</v>
      </c>
      <c r="R237" s="205" t="s">
        <v>225</v>
      </c>
      <c r="S237" s="205"/>
      <c r="T237" s="256" t="s">
        <v>225</v>
      </c>
    </row>
    <row r="238" spans="3:20" ht="15.75">
      <c r="C238" s="203"/>
      <c r="D238" s="211" t="s">
        <v>369</v>
      </c>
      <c r="E238" s="68" t="s">
        <v>382</v>
      </c>
      <c r="F238" s="259" t="s">
        <v>383</v>
      </c>
      <c r="G238" s="204"/>
      <c r="H238" s="211"/>
      <c r="I238" s="205" t="s">
        <v>368</v>
      </c>
      <c r="J238" s="205"/>
      <c r="K238" s="256" t="s">
        <v>328</v>
      </c>
      <c r="L238" s="203"/>
      <c r="M238" s="211" t="s">
        <v>369</v>
      </c>
      <c r="N238" s="68" t="s">
        <v>382</v>
      </c>
      <c r="O238" s="259" t="s">
        <v>383</v>
      </c>
      <c r="P238" s="204"/>
      <c r="Q238" s="211"/>
      <c r="R238" s="205" t="s">
        <v>382</v>
      </c>
      <c r="S238" s="205"/>
      <c r="T238" s="256" t="s">
        <v>328</v>
      </c>
    </row>
    <row r="239" spans="3:20" ht="16.5" thickBot="1">
      <c r="C239" s="127"/>
      <c r="D239" s="68"/>
      <c r="E239" s="211" t="s">
        <v>335</v>
      </c>
      <c r="F239" s="211" t="s">
        <v>335</v>
      </c>
      <c r="G239" s="204" t="s">
        <v>371</v>
      </c>
      <c r="H239" s="219"/>
      <c r="I239" s="205" t="s">
        <v>371</v>
      </c>
      <c r="J239" s="205"/>
      <c r="K239" s="220"/>
      <c r="L239" s="127"/>
      <c r="M239" s="68"/>
      <c r="N239" s="211" t="s">
        <v>335</v>
      </c>
      <c r="O239" s="211" t="s">
        <v>335</v>
      </c>
      <c r="P239" s="204"/>
      <c r="Q239" s="219"/>
      <c r="R239" s="205" t="s">
        <v>153</v>
      </c>
      <c r="S239" s="205"/>
      <c r="T239" s="220"/>
    </row>
    <row r="240" spans="3:20" ht="16.5" thickBot="1">
      <c r="C240" s="178" t="s">
        <v>261</v>
      </c>
      <c r="D240" s="179" t="s">
        <v>262</v>
      </c>
      <c r="E240" s="180" t="s">
        <v>263</v>
      </c>
      <c r="F240" s="179" t="s">
        <v>264</v>
      </c>
      <c r="G240" s="180" t="s">
        <v>384</v>
      </c>
      <c r="H240" s="179" t="s">
        <v>266</v>
      </c>
      <c r="I240" s="179" t="s">
        <v>373</v>
      </c>
      <c r="J240" s="179" t="s">
        <v>364</v>
      </c>
      <c r="K240" s="225" t="s">
        <v>344</v>
      </c>
      <c r="L240" s="178" t="s">
        <v>261</v>
      </c>
      <c r="M240" s="179" t="s">
        <v>262</v>
      </c>
      <c r="N240" s="180" t="s">
        <v>263</v>
      </c>
      <c r="O240" s="179" t="s">
        <v>264</v>
      </c>
      <c r="P240" s="180" t="s">
        <v>387</v>
      </c>
      <c r="Q240" s="179" t="s">
        <v>266</v>
      </c>
      <c r="R240" s="179" t="s">
        <v>373</v>
      </c>
      <c r="S240" s="179" t="s">
        <v>364</v>
      </c>
      <c r="T240" s="225" t="s">
        <v>344</v>
      </c>
    </row>
    <row r="241" spans="3:20" ht="16.5" thickBot="1">
      <c r="C241" s="67"/>
      <c r="D241" s="68"/>
      <c r="E241" s="52"/>
      <c r="F241" s="68"/>
      <c r="G241" s="52"/>
      <c r="H241" s="68"/>
      <c r="I241" s="68"/>
      <c r="J241" s="68"/>
      <c r="K241" s="164"/>
      <c r="L241" s="67"/>
      <c r="M241" s="261"/>
      <c r="N241" s="262"/>
      <c r="O241" s="68"/>
      <c r="P241" s="52"/>
      <c r="Q241" s="68"/>
      <c r="R241" s="68"/>
      <c r="S241" s="68"/>
      <c r="T241" s="164"/>
    </row>
    <row r="242" spans="2:20" ht="15.75">
      <c r="B242" s="435">
        <v>39281</v>
      </c>
      <c r="C242" s="138" t="s">
        <v>385</v>
      </c>
      <c r="D242" s="68"/>
      <c r="E242" s="68"/>
      <c r="F242" s="68"/>
      <c r="G242" s="52"/>
      <c r="H242" s="68"/>
      <c r="I242" s="68"/>
      <c r="J242" s="68"/>
      <c r="K242" s="85"/>
      <c r="L242" s="138" t="s">
        <v>447</v>
      </c>
      <c r="M242" s="261"/>
      <c r="N242" s="261"/>
      <c r="O242" s="68"/>
      <c r="P242" s="52"/>
      <c r="Q242" s="68"/>
      <c r="R242" s="68"/>
      <c r="S242" s="68"/>
      <c r="T242" s="85"/>
    </row>
    <row r="243" spans="3:20" ht="15.75">
      <c r="C243" s="144" t="s">
        <v>288</v>
      </c>
      <c r="D243" s="258"/>
      <c r="E243" s="165"/>
      <c r="F243" s="165"/>
      <c r="G243" s="275"/>
      <c r="H243" s="258"/>
      <c r="I243" s="279"/>
      <c r="J243" s="276"/>
      <c r="K243" s="277"/>
      <c r="L243" s="144" t="s">
        <v>288</v>
      </c>
      <c r="M243" s="258"/>
      <c r="N243" s="274"/>
      <c r="O243" s="274"/>
      <c r="P243" s="275"/>
      <c r="Q243" s="258"/>
      <c r="R243" s="274"/>
      <c r="S243" s="274"/>
      <c r="T243" s="278"/>
    </row>
    <row r="244" spans="3:20" ht="15.75">
      <c r="C244" s="325" t="s">
        <v>490</v>
      </c>
      <c r="D244" s="68" t="s">
        <v>489</v>
      </c>
      <c r="E244" s="165">
        <v>6</v>
      </c>
      <c r="F244" s="165">
        <v>3.15</v>
      </c>
      <c r="G244" s="275">
        <f aca="true" t="shared" si="7" ref="G244:G249">E244*F244</f>
        <v>18.9</v>
      </c>
      <c r="H244" s="258">
        <v>1</v>
      </c>
      <c r="I244" s="274">
        <f aca="true" t="shared" si="8" ref="I244:I249">H244*G244</f>
        <v>18.9</v>
      </c>
      <c r="J244" s="276"/>
      <c r="K244" s="282"/>
      <c r="L244" s="325" t="s">
        <v>490</v>
      </c>
      <c r="M244" s="68" t="s">
        <v>576</v>
      </c>
      <c r="N244" s="165">
        <v>6</v>
      </c>
      <c r="O244" s="165">
        <v>3.15</v>
      </c>
      <c r="P244" s="275">
        <f>(N244+O244)*2</f>
        <v>18.3</v>
      </c>
      <c r="Q244" s="258">
        <v>1</v>
      </c>
      <c r="R244" s="274">
        <f>Q244*P244</f>
        <v>18.3</v>
      </c>
      <c r="S244" s="276"/>
      <c r="T244" s="278"/>
    </row>
    <row r="245" spans="3:20" ht="15.75">
      <c r="C245" s="325"/>
      <c r="D245" s="68"/>
      <c r="E245" s="165">
        <v>3</v>
      </c>
      <c r="F245" s="165">
        <v>0.3</v>
      </c>
      <c r="G245" s="275">
        <f t="shared" si="7"/>
        <v>0.8999999999999999</v>
      </c>
      <c r="H245" s="258">
        <v>1</v>
      </c>
      <c r="I245" s="274">
        <f t="shared" si="8"/>
        <v>0.8999999999999999</v>
      </c>
      <c r="J245" s="276"/>
      <c r="K245" s="282"/>
      <c r="L245" s="325"/>
      <c r="M245" s="68"/>
      <c r="N245" s="165"/>
      <c r="O245" s="165"/>
      <c r="P245" s="275">
        <f aca="true" t="shared" si="9" ref="P245:P305">(N245+O245)*2</f>
        <v>0</v>
      </c>
      <c r="Q245" s="258">
        <v>1</v>
      </c>
      <c r="R245" s="274">
        <f aca="true" t="shared" si="10" ref="R245:R305">Q245*P245</f>
        <v>0</v>
      </c>
      <c r="S245" s="276"/>
      <c r="T245" s="278"/>
    </row>
    <row r="246" spans="3:20" ht="15.75">
      <c r="C246" s="325"/>
      <c r="D246" s="68"/>
      <c r="E246" s="165">
        <v>6</v>
      </c>
      <c r="F246" s="165">
        <v>0.36</v>
      </c>
      <c r="G246" s="275">
        <f t="shared" si="7"/>
        <v>2.16</v>
      </c>
      <c r="H246" s="258">
        <v>1</v>
      </c>
      <c r="I246" s="274">
        <f t="shared" si="8"/>
        <v>2.16</v>
      </c>
      <c r="J246" s="276"/>
      <c r="K246" s="282"/>
      <c r="L246" s="325"/>
      <c r="M246" s="68"/>
      <c r="N246" s="165"/>
      <c r="O246" s="165"/>
      <c r="P246" s="275">
        <f t="shared" si="9"/>
        <v>0</v>
      </c>
      <c r="Q246" s="258">
        <v>1</v>
      </c>
      <c r="R246" s="274">
        <f t="shared" si="10"/>
        <v>0</v>
      </c>
      <c r="S246" s="276"/>
      <c r="T246" s="278"/>
    </row>
    <row r="247" spans="3:20" ht="15.75">
      <c r="C247" s="325"/>
      <c r="D247" s="68"/>
      <c r="E247" s="165">
        <v>1.2</v>
      </c>
      <c r="F247" s="165">
        <v>1.2</v>
      </c>
      <c r="G247" s="275">
        <f t="shared" si="7"/>
        <v>1.44</v>
      </c>
      <c r="H247" s="258">
        <v>2</v>
      </c>
      <c r="I247" s="274">
        <f t="shared" si="8"/>
        <v>2.88</v>
      </c>
      <c r="J247" s="276">
        <f>SUM(I244:I247)</f>
        <v>24.839999999999996</v>
      </c>
      <c r="K247" s="446"/>
      <c r="L247" s="325"/>
      <c r="M247" s="68"/>
      <c r="N247" s="165"/>
      <c r="O247" s="165"/>
      <c r="P247" s="275">
        <f t="shared" si="9"/>
        <v>0</v>
      </c>
      <c r="Q247" s="258">
        <v>1</v>
      </c>
      <c r="R247" s="274">
        <f t="shared" si="10"/>
        <v>0</v>
      </c>
      <c r="S247" s="276">
        <f>SUM(R244:R247)</f>
        <v>18.3</v>
      </c>
      <c r="T247" s="278"/>
    </row>
    <row r="248" spans="3:20" ht="15.75">
      <c r="C248" s="325" t="s">
        <v>552</v>
      </c>
      <c r="D248" s="68" t="s">
        <v>489</v>
      </c>
      <c r="E248" s="165">
        <v>3.6</v>
      </c>
      <c r="F248" s="165">
        <v>3.5</v>
      </c>
      <c r="G248" s="275">
        <f t="shared" si="7"/>
        <v>12.6</v>
      </c>
      <c r="H248" s="258">
        <v>1</v>
      </c>
      <c r="I248" s="274">
        <f t="shared" si="8"/>
        <v>12.6</v>
      </c>
      <c r="J248" s="276"/>
      <c r="K248" s="449"/>
      <c r="L248" s="325" t="s">
        <v>552</v>
      </c>
      <c r="M248" s="68" t="s">
        <v>576</v>
      </c>
      <c r="N248" s="165">
        <v>3.6</v>
      </c>
      <c r="O248" s="165">
        <v>3.5</v>
      </c>
      <c r="P248" s="275">
        <f t="shared" si="9"/>
        <v>14.2</v>
      </c>
      <c r="Q248" s="258">
        <v>1</v>
      </c>
      <c r="R248" s="274">
        <f t="shared" si="10"/>
        <v>14.2</v>
      </c>
      <c r="S248" s="276"/>
      <c r="T248" s="278"/>
    </row>
    <row r="249" spans="3:20" ht="15.75">
      <c r="C249" s="325"/>
      <c r="D249" s="68"/>
      <c r="E249" s="165">
        <v>6</v>
      </c>
      <c r="F249" s="165">
        <v>1.8</v>
      </c>
      <c r="G249" s="275">
        <f t="shared" si="7"/>
        <v>10.8</v>
      </c>
      <c r="H249" s="258">
        <v>1</v>
      </c>
      <c r="I249" s="274">
        <f t="shared" si="8"/>
        <v>10.8</v>
      </c>
      <c r="J249" s="276"/>
      <c r="K249" s="280"/>
      <c r="L249" s="325"/>
      <c r="M249" s="68"/>
      <c r="N249" s="165"/>
      <c r="O249" s="165"/>
      <c r="P249" s="275">
        <f t="shared" si="9"/>
        <v>0</v>
      </c>
      <c r="Q249" s="258">
        <v>1</v>
      </c>
      <c r="R249" s="274">
        <f t="shared" si="10"/>
        <v>0</v>
      </c>
      <c r="S249" s="276"/>
      <c r="T249" s="278"/>
    </row>
    <row r="250" spans="3:20" ht="15.75">
      <c r="C250" s="325"/>
      <c r="D250" s="68"/>
      <c r="E250" s="165">
        <v>9.3</v>
      </c>
      <c r="F250" s="165">
        <v>6</v>
      </c>
      <c r="G250" s="275">
        <f aca="true" t="shared" si="11" ref="G250:G274">E250*F250</f>
        <v>55.800000000000004</v>
      </c>
      <c r="H250" s="258">
        <v>1</v>
      </c>
      <c r="I250" s="274">
        <f aca="true" t="shared" si="12" ref="I250:I274">H250*G250</f>
        <v>55.800000000000004</v>
      </c>
      <c r="J250" s="276"/>
      <c r="K250" s="281"/>
      <c r="L250" s="325"/>
      <c r="M250" s="68"/>
      <c r="N250" s="165"/>
      <c r="O250" s="165">
        <v>6</v>
      </c>
      <c r="P250" s="275">
        <f t="shared" si="9"/>
        <v>12</v>
      </c>
      <c r="Q250" s="258">
        <v>1</v>
      </c>
      <c r="R250" s="274">
        <f t="shared" si="10"/>
        <v>12</v>
      </c>
      <c r="S250" s="276"/>
      <c r="T250" s="278"/>
    </row>
    <row r="251" spans="3:20" ht="15.75">
      <c r="C251" s="325"/>
      <c r="D251" s="68"/>
      <c r="E251" s="165">
        <f>(6+4.5)/2</f>
        <v>5.25</v>
      </c>
      <c r="F251" s="165">
        <v>1.2</v>
      </c>
      <c r="G251" s="275">
        <f t="shared" si="11"/>
        <v>6.3</v>
      </c>
      <c r="H251" s="258">
        <v>1</v>
      </c>
      <c r="I251" s="274">
        <f t="shared" si="12"/>
        <v>6.3</v>
      </c>
      <c r="J251" s="276"/>
      <c r="K251" s="281"/>
      <c r="L251" s="325"/>
      <c r="M251" s="68"/>
      <c r="N251" s="165">
        <f>(6+4.5)/2</f>
        <v>5.25</v>
      </c>
      <c r="O251" s="165">
        <v>1.2</v>
      </c>
      <c r="P251" s="275">
        <f t="shared" si="9"/>
        <v>12.9</v>
      </c>
      <c r="Q251" s="258">
        <v>1</v>
      </c>
      <c r="R251" s="274">
        <f t="shared" si="10"/>
        <v>12.9</v>
      </c>
      <c r="S251" s="276"/>
      <c r="T251" s="278"/>
    </row>
    <row r="252" spans="3:20" ht="15.75">
      <c r="C252" s="325"/>
      <c r="D252" s="68"/>
      <c r="E252" s="165">
        <v>1.5</v>
      </c>
      <c r="F252" s="165">
        <f>1.5/2</f>
        <v>0.75</v>
      </c>
      <c r="G252" s="275">
        <f t="shared" si="11"/>
        <v>1.125</v>
      </c>
      <c r="H252" s="258">
        <v>1</v>
      </c>
      <c r="I252" s="274">
        <f t="shared" si="12"/>
        <v>1.125</v>
      </c>
      <c r="J252" s="276">
        <f>SUM(I248:I252)</f>
        <v>86.625</v>
      </c>
      <c r="K252" s="281"/>
      <c r="L252" s="325"/>
      <c r="M252" s="68"/>
      <c r="N252" s="165">
        <v>1.5</v>
      </c>
      <c r="O252" s="165">
        <f>1.5/2</f>
        <v>0.75</v>
      </c>
      <c r="P252" s="275">
        <f t="shared" si="9"/>
        <v>4.5</v>
      </c>
      <c r="Q252" s="258">
        <v>1</v>
      </c>
      <c r="R252" s="274">
        <f t="shared" si="10"/>
        <v>4.5</v>
      </c>
      <c r="S252" s="276">
        <f>SUM(R248:R252)</f>
        <v>43.6</v>
      </c>
      <c r="T252" s="278"/>
    </row>
    <row r="253" spans="3:20" ht="15.75">
      <c r="C253" s="325" t="s">
        <v>553</v>
      </c>
      <c r="D253" s="68" t="s">
        <v>489</v>
      </c>
      <c r="E253" s="165">
        <v>6</v>
      </c>
      <c r="F253" s="165">
        <v>1.5</v>
      </c>
      <c r="G253" s="275">
        <f t="shared" si="11"/>
        <v>9</v>
      </c>
      <c r="H253" s="258">
        <v>1</v>
      </c>
      <c r="I253" s="274">
        <f t="shared" si="12"/>
        <v>9</v>
      </c>
      <c r="J253" s="276">
        <f>I253</f>
        <v>9</v>
      </c>
      <c r="K253" s="281"/>
      <c r="L253" s="325" t="s">
        <v>553</v>
      </c>
      <c r="M253" s="68" t="s">
        <v>576</v>
      </c>
      <c r="N253" s="165">
        <v>6</v>
      </c>
      <c r="O253" s="165">
        <v>1.5</v>
      </c>
      <c r="P253" s="275">
        <f t="shared" si="9"/>
        <v>15</v>
      </c>
      <c r="Q253" s="258">
        <v>1</v>
      </c>
      <c r="R253" s="274">
        <f t="shared" si="10"/>
        <v>15</v>
      </c>
      <c r="S253" s="276">
        <f>R253</f>
        <v>15</v>
      </c>
      <c r="T253" s="278"/>
    </row>
    <row r="254" spans="3:20" ht="15.75">
      <c r="C254" s="325" t="s">
        <v>554</v>
      </c>
      <c r="D254" s="68" t="s">
        <v>489</v>
      </c>
      <c r="E254" s="165">
        <v>4.5</v>
      </c>
      <c r="F254" s="165">
        <v>2.7</v>
      </c>
      <c r="G254" s="275">
        <f t="shared" si="11"/>
        <v>12.15</v>
      </c>
      <c r="H254" s="258">
        <v>1</v>
      </c>
      <c r="I254" s="274">
        <f t="shared" si="12"/>
        <v>12.15</v>
      </c>
      <c r="J254" s="276">
        <f>I254</f>
        <v>12.15</v>
      </c>
      <c r="K254" s="281"/>
      <c r="L254" s="325" t="s">
        <v>554</v>
      </c>
      <c r="M254" s="68" t="s">
        <v>576</v>
      </c>
      <c r="N254" s="165">
        <v>4.5</v>
      </c>
      <c r="O254" s="165">
        <v>2.7</v>
      </c>
      <c r="P254" s="275">
        <f t="shared" si="9"/>
        <v>14.4</v>
      </c>
      <c r="Q254" s="258">
        <v>1</v>
      </c>
      <c r="R254" s="274">
        <f t="shared" si="10"/>
        <v>14.4</v>
      </c>
      <c r="S254" s="276">
        <f>R254</f>
        <v>14.4</v>
      </c>
      <c r="T254" s="278"/>
    </row>
    <row r="255" spans="3:20" ht="15.75">
      <c r="C255" s="325" t="s">
        <v>555</v>
      </c>
      <c r="D255" s="68" t="s">
        <v>489</v>
      </c>
      <c r="E255" s="165">
        <v>4.5</v>
      </c>
      <c r="F255" s="165">
        <v>3.45</v>
      </c>
      <c r="G255" s="275">
        <f t="shared" si="11"/>
        <v>15.525</v>
      </c>
      <c r="H255" s="258">
        <v>1</v>
      </c>
      <c r="I255" s="274">
        <f t="shared" si="12"/>
        <v>15.525</v>
      </c>
      <c r="J255" s="276"/>
      <c r="K255" s="281"/>
      <c r="L255" s="325" t="s">
        <v>555</v>
      </c>
      <c r="M255" s="68" t="s">
        <v>576</v>
      </c>
      <c r="N255" s="165">
        <v>4.5</v>
      </c>
      <c r="O255" s="165">
        <v>3.45</v>
      </c>
      <c r="P255" s="275">
        <f t="shared" si="9"/>
        <v>15.9</v>
      </c>
      <c r="Q255" s="258">
        <v>1</v>
      </c>
      <c r="R255" s="274">
        <f t="shared" si="10"/>
        <v>15.9</v>
      </c>
      <c r="S255" s="276"/>
      <c r="T255" s="278"/>
    </row>
    <row r="256" spans="3:20" ht="15.75">
      <c r="C256" s="263"/>
      <c r="D256" s="68"/>
      <c r="E256" s="165">
        <v>1.8</v>
      </c>
      <c r="F256" s="165">
        <f>1.8/2</f>
        <v>0.9</v>
      </c>
      <c r="G256" s="275">
        <f t="shared" si="11"/>
        <v>1.62</v>
      </c>
      <c r="H256" s="258">
        <v>1</v>
      </c>
      <c r="I256" s="274">
        <f t="shared" si="12"/>
        <v>1.62</v>
      </c>
      <c r="J256" s="276">
        <f>SUM(I255:I256)</f>
        <v>17.145</v>
      </c>
      <c r="K256" s="460"/>
      <c r="L256" s="263"/>
      <c r="M256" s="68"/>
      <c r="N256" s="165">
        <v>1.8</v>
      </c>
      <c r="O256" s="165">
        <f>1.8/2</f>
        <v>0.9</v>
      </c>
      <c r="P256" s="275">
        <f t="shared" si="9"/>
        <v>5.4</v>
      </c>
      <c r="Q256" s="258">
        <v>1</v>
      </c>
      <c r="R256" s="274">
        <f t="shared" si="10"/>
        <v>5.4</v>
      </c>
      <c r="S256" s="276">
        <f>SUM(R255:R256)</f>
        <v>21.3</v>
      </c>
      <c r="T256" s="278"/>
    </row>
    <row r="257" spans="3:20" ht="15.75">
      <c r="C257" s="325" t="s">
        <v>556</v>
      </c>
      <c r="D257" s="68" t="s">
        <v>489</v>
      </c>
      <c r="E257" s="165">
        <v>3.45</v>
      </c>
      <c r="F257" s="165">
        <v>3</v>
      </c>
      <c r="G257" s="275">
        <f t="shared" si="11"/>
        <v>10.350000000000001</v>
      </c>
      <c r="H257" s="258">
        <v>1</v>
      </c>
      <c r="I257" s="274">
        <f t="shared" si="12"/>
        <v>10.350000000000001</v>
      </c>
      <c r="J257" s="447"/>
      <c r="K257" s="448"/>
      <c r="L257" s="325" t="s">
        <v>556</v>
      </c>
      <c r="M257" s="68" t="s">
        <v>576</v>
      </c>
      <c r="N257" s="165">
        <v>3.45</v>
      </c>
      <c r="O257" s="165">
        <v>3</v>
      </c>
      <c r="P257" s="275">
        <f t="shared" si="9"/>
        <v>12.9</v>
      </c>
      <c r="Q257" s="258">
        <v>1</v>
      </c>
      <c r="R257" s="274">
        <f t="shared" si="10"/>
        <v>12.9</v>
      </c>
      <c r="S257" s="447"/>
      <c r="T257" s="278"/>
    </row>
    <row r="258" spans="3:20" ht="15.75">
      <c r="C258" s="325"/>
      <c r="D258" s="68"/>
      <c r="E258" s="165">
        <f>(2+3.45)/2</f>
        <v>2.725</v>
      </c>
      <c r="F258" s="165">
        <v>1.5</v>
      </c>
      <c r="G258" s="275">
        <f t="shared" si="11"/>
        <v>4.0875</v>
      </c>
      <c r="H258" s="258">
        <v>1</v>
      </c>
      <c r="I258" s="274">
        <f t="shared" si="12"/>
        <v>4.0875</v>
      </c>
      <c r="J258" s="276">
        <f>SUM(I257:I258)</f>
        <v>14.437500000000002</v>
      </c>
      <c r="K258" s="281"/>
      <c r="L258" s="325"/>
      <c r="M258" s="68"/>
      <c r="N258" s="165">
        <f>(2+3.45)/2</f>
        <v>2.725</v>
      </c>
      <c r="O258" s="165">
        <v>1.5</v>
      </c>
      <c r="P258" s="275">
        <f t="shared" si="9"/>
        <v>8.45</v>
      </c>
      <c r="Q258" s="258">
        <v>1</v>
      </c>
      <c r="R258" s="274">
        <f t="shared" si="10"/>
        <v>8.45</v>
      </c>
      <c r="S258" s="276">
        <f>SUM(R257:R258)</f>
        <v>21.35</v>
      </c>
      <c r="T258" s="278"/>
    </row>
    <row r="259" spans="3:20" ht="15.75">
      <c r="C259" s="325" t="s">
        <v>557</v>
      </c>
      <c r="D259" s="68" t="s">
        <v>489</v>
      </c>
      <c r="E259" s="165">
        <v>3</v>
      </c>
      <c r="F259" s="165">
        <v>2</v>
      </c>
      <c r="G259" s="275">
        <f t="shared" si="11"/>
        <v>6</v>
      </c>
      <c r="H259" s="258">
        <v>1</v>
      </c>
      <c r="I259" s="274">
        <f t="shared" si="12"/>
        <v>6</v>
      </c>
      <c r="J259" s="276">
        <f>I259</f>
        <v>6</v>
      </c>
      <c r="K259" s="281"/>
      <c r="L259" s="325" t="s">
        <v>557</v>
      </c>
      <c r="M259" s="68" t="s">
        <v>576</v>
      </c>
      <c r="N259" s="165">
        <v>3</v>
      </c>
      <c r="O259" s="165">
        <v>2</v>
      </c>
      <c r="P259" s="275">
        <f t="shared" si="9"/>
        <v>10</v>
      </c>
      <c r="Q259" s="258">
        <v>1</v>
      </c>
      <c r="R259" s="274">
        <f t="shared" si="10"/>
        <v>10</v>
      </c>
      <c r="S259" s="276">
        <f>R259</f>
        <v>10</v>
      </c>
      <c r="T259" s="278"/>
    </row>
    <row r="260" spans="3:20" ht="15.75">
      <c r="C260" s="325" t="s">
        <v>558</v>
      </c>
      <c r="D260" s="68" t="s">
        <v>489</v>
      </c>
      <c r="E260" s="165">
        <v>4.5</v>
      </c>
      <c r="F260" s="165">
        <v>3.45</v>
      </c>
      <c r="G260" s="275">
        <f t="shared" si="11"/>
        <v>15.525</v>
      </c>
      <c r="H260" s="258">
        <v>1</v>
      </c>
      <c r="I260" s="274">
        <f t="shared" si="12"/>
        <v>15.525</v>
      </c>
      <c r="J260" s="276"/>
      <c r="K260" s="281"/>
      <c r="L260" s="325" t="s">
        <v>558</v>
      </c>
      <c r="M260" s="68" t="s">
        <v>576</v>
      </c>
      <c r="N260" s="165">
        <v>4.5</v>
      </c>
      <c r="O260" s="165">
        <v>3.45</v>
      </c>
      <c r="P260" s="275">
        <f t="shared" si="9"/>
        <v>15.9</v>
      </c>
      <c r="Q260" s="258">
        <v>1</v>
      </c>
      <c r="R260" s="274">
        <f t="shared" si="10"/>
        <v>15.9</v>
      </c>
      <c r="S260" s="276"/>
      <c r="T260" s="278"/>
    </row>
    <row r="261" spans="3:20" ht="15.75">
      <c r="C261" s="325"/>
      <c r="D261" s="68"/>
      <c r="E261" s="165">
        <f>(2+3.45)/2</f>
        <v>2.725</v>
      </c>
      <c r="F261" s="165">
        <v>1.5</v>
      </c>
      <c r="G261" s="275">
        <f t="shared" si="11"/>
        <v>4.0875</v>
      </c>
      <c r="H261" s="258">
        <v>1</v>
      </c>
      <c r="I261" s="274">
        <f t="shared" si="12"/>
        <v>4.0875</v>
      </c>
      <c r="J261" s="276">
        <f>SUM(I260:I261)</f>
        <v>19.6125</v>
      </c>
      <c r="K261" s="281"/>
      <c r="L261" s="325"/>
      <c r="M261" s="68"/>
      <c r="N261" s="165">
        <f>(2+3.45)/2</f>
        <v>2.725</v>
      </c>
      <c r="O261" s="165">
        <v>1.5</v>
      </c>
      <c r="P261" s="275">
        <f t="shared" si="9"/>
        <v>8.45</v>
      </c>
      <c r="Q261" s="258">
        <v>1</v>
      </c>
      <c r="R261" s="274">
        <f t="shared" si="10"/>
        <v>8.45</v>
      </c>
      <c r="S261" s="276">
        <f>SUM(R260:R261)</f>
        <v>24.35</v>
      </c>
      <c r="T261" s="278"/>
    </row>
    <row r="262" spans="3:20" ht="15.75">
      <c r="C262" s="325" t="s">
        <v>559</v>
      </c>
      <c r="D262" s="68" t="s">
        <v>489</v>
      </c>
      <c r="E262" s="165">
        <v>4.5</v>
      </c>
      <c r="F262" s="165">
        <v>3</v>
      </c>
      <c r="G262" s="275">
        <f t="shared" si="11"/>
        <v>13.5</v>
      </c>
      <c r="H262" s="258">
        <v>1</v>
      </c>
      <c r="I262" s="274">
        <f t="shared" si="12"/>
        <v>13.5</v>
      </c>
      <c r="J262" s="276">
        <f>I262</f>
        <v>13.5</v>
      </c>
      <c r="K262" s="281"/>
      <c r="L262" s="325" t="s">
        <v>559</v>
      </c>
      <c r="M262" s="68" t="s">
        <v>576</v>
      </c>
      <c r="N262" s="165">
        <v>4.5</v>
      </c>
      <c r="O262" s="165">
        <v>3</v>
      </c>
      <c r="P262" s="275">
        <f t="shared" si="9"/>
        <v>15</v>
      </c>
      <c r="Q262" s="258">
        <v>1</v>
      </c>
      <c r="R262" s="274">
        <f t="shared" si="10"/>
        <v>15</v>
      </c>
      <c r="S262" s="276">
        <f>R262</f>
        <v>15</v>
      </c>
      <c r="T262" s="278"/>
    </row>
    <row r="263" spans="3:20" ht="15.75">
      <c r="C263" s="325" t="s">
        <v>560</v>
      </c>
      <c r="D263" s="68" t="s">
        <v>489</v>
      </c>
      <c r="E263" s="165">
        <v>4.5</v>
      </c>
      <c r="F263" s="165">
        <v>4.2</v>
      </c>
      <c r="G263" s="275">
        <f t="shared" si="11"/>
        <v>18.900000000000002</v>
      </c>
      <c r="H263" s="258">
        <v>1</v>
      </c>
      <c r="I263" s="274">
        <f t="shared" si="12"/>
        <v>18.900000000000002</v>
      </c>
      <c r="J263" s="416"/>
      <c r="K263" s="281"/>
      <c r="L263" s="325" t="s">
        <v>560</v>
      </c>
      <c r="M263" s="68" t="s">
        <v>576</v>
      </c>
      <c r="N263" s="165">
        <v>4.5</v>
      </c>
      <c r="O263" s="165">
        <v>4.2</v>
      </c>
      <c r="P263" s="275">
        <f t="shared" si="9"/>
        <v>17.4</v>
      </c>
      <c r="Q263" s="258">
        <v>1</v>
      </c>
      <c r="R263" s="274">
        <f t="shared" si="10"/>
        <v>17.4</v>
      </c>
      <c r="S263" s="416"/>
      <c r="T263" s="278"/>
    </row>
    <row r="264" spans="3:20" ht="15.75">
      <c r="C264" s="263"/>
      <c r="D264" s="68"/>
      <c r="E264" s="165">
        <v>2.25</v>
      </c>
      <c r="F264" s="165">
        <v>1.6</v>
      </c>
      <c r="G264" s="275">
        <f t="shared" si="11"/>
        <v>3.6</v>
      </c>
      <c r="H264" s="258">
        <v>1</v>
      </c>
      <c r="I264" s="274">
        <f t="shared" si="12"/>
        <v>3.6</v>
      </c>
      <c r="J264" s="417">
        <f>SUM(I263:I264)</f>
        <v>22.500000000000004</v>
      </c>
      <c r="K264" s="281">
        <f>SUM(J244:J264)</f>
        <v>225.81000000000003</v>
      </c>
      <c r="L264" s="263"/>
      <c r="M264" s="68"/>
      <c r="N264" s="165">
        <v>2.25</v>
      </c>
      <c r="O264" s="165">
        <v>1.6</v>
      </c>
      <c r="P264" s="275">
        <f>(N264+O264)*2</f>
        <v>7.7</v>
      </c>
      <c r="Q264" s="258">
        <v>1</v>
      </c>
      <c r="R264" s="274">
        <f t="shared" si="10"/>
        <v>7.7</v>
      </c>
      <c r="S264" s="417">
        <f>SUM(R263:R264)</f>
        <v>25.099999999999998</v>
      </c>
      <c r="T264" s="278"/>
    </row>
    <row r="265" spans="3:20" ht="15.75">
      <c r="C265" s="325" t="s">
        <v>561</v>
      </c>
      <c r="D265" s="484" t="s">
        <v>491</v>
      </c>
      <c r="E265" s="165">
        <v>2</v>
      </c>
      <c r="F265" s="165">
        <v>1.6</v>
      </c>
      <c r="G265" s="275">
        <f t="shared" si="11"/>
        <v>3.2</v>
      </c>
      <c r="H265" s="258">
        <v>1</v>
      </c>
      <c r="I265" s="274">
        <f t="shared" si="12"/>
        <v>3.2</v>
      </c>
      <c r="J265" s="483">
        <f>I265</f>
        <v>3.2</v>
      </c>
      <c r="K265" s="281"/>
      <c r="L265" s="325" t="s">
        <v>561</v>
      </c>
      <c r="M265" s="484" t="s">
        <v>491</v>
      </c>
      <c r="N265" s="165"/>
      <c r="O265" s="165"/>
      <c r="P265" s="275"/>
      <c r="Q265" s="258"/>
      <c r="R265" s="274"/>
      <c r="S265" s="483"/>
      <c r="T265" s="278"/>
    </row>
    <row r="266" spans="3:20" ht="15.75">
      <c r="C266" s="325" t="s">
        <v>562</v>
      </c>
      <c r="D266" s="484" t="s">
        <v>492</v>
      </c>
      <c r="E266" s="165">
        <v>2</v>
      </c>
      <c r="F266" s="165">
        <v>1.8</v>
      </c>
      <c r="G266" s="275">
        <f t="shared" si="11"/>
        <v>3.6</v>
      </c>
      <c r="H266" s="258">
        <v>2</v>
      </c>
      <c r="I266" s="274">
        <f t="shared" si="12"/>
        <v>7.2</v>
      </c>
      <c r="J266" s="483"/>
      <c r="K266" s="281"/>
      <c r="L266" s="325" t="s">
        <v>562</v>
      </c>
      <c r="M266" s="484" t="s">
        <v>492</v>
      </c>
      <c r="N266" s="165"/>
      <c r="O266" s="165"/>
      <c r="P266" s="275"/>
      <c r="Q266" s="258"/>
      <c r="R266" s="274"/>
      <c r="S266" s="483"/>
      <c r="T266" s="278"/>
    </row>
    <row r="267" spans="3:20" ht="15.75">
      <c r="C267" s="263"/>
      <c r="D267" s="484"/>
      <c r="E267" s="165">
        <v>1.6</v>
      </c>
      <c r="F267" s="165">
        <v>1.8</v>
      </c>
      <c r="G267" s="275">
        <f t="shared" si="11"/>
        <v>2.8800000000000003</v>
      </c>
      <c r="H267" s="258">
        <v>1</v>
      </c>
      <c r="I267" s="274">
        <f t="shared" si="12"/>
        <v>2.8800000000000003</v>
      </c>
      <c r="J267" s="483"/>
      <c r="K267" s="281"/>
      <c r="L267" s="263"/>
      <c r="M267" s="484"/>
      <c r="N267" s="165"/>
      <c r="O267" s="165"/>
      <c r="P267" s="275"/>
      <c r="Q267" s="258"/>
      <c r="R267" s="274"/>
      <c r="S267" s="483"/>
      <c r="T267" s="278"/>
    </row>
    <row r="268" spans="3:20" ht="15.75">
      <c r="C268" s="263"/>
      <c r="D268" s="484"/>
      <c r="E268" s="165">
        <v>0.7</v>
      </c>
      <c r="F268" s="165">
        <v>1.8</v>
      </c>
      <c r="G268" s="275">
        <f t="shared" si="11"/>
        <v>1.26</v>
      </c>
      <c r="H268" s="258">
        <v>1</v>
      </c>
      <c r="I268" s="274">
        <f t="shared" si="12"/>
        <v>1.26</v>
      </c>
      <c r="J268" s="483">
        <f>SUM(I266:I268)</f>
        <v>11.34</v>
      </c>
      <c r="K268" s="281"/>
      <c r="L268" s="263"/>
      <c r="M268" s="484"/>
      <c r="N268" s="165"/>
      <c r="O268" s="165"/>
      <c r="P268" s="275"/>
      <c r="Q268" s="258"/>
      <c r="R268" s="274"/>
      <c r="S268" s="483"/>
      <c r="T268" s="278"/>
    </row>
    <row r="269" spans="3:20" ht="15.75">
      <c r="C269" s="325" t="s">
        <v>563</v>
      </c>
      <c r="D269" s="68" t="s">
        <v>489</v>
      </c>
      <c r="E269" s="165">
        <v>5.4</v>
      </c>
      <c r="F269" s="165">
        <v>1.5</v>
      </c>
      <c r="G269" s="275">
        <f t="shared" si="11"/>
        <v>8.100000000000001</v>
      </c>
      <c r="H269" s="258">
        <v>1</v>
      </c>
      <c r="I269" s="274">
        <f t="shared" si="12"/>
        <v>8.100000000000001</v>
      </c>
      <c r="J269" s="416"/>
      <c r="K269" s="281"/>
      <c r="L269" s="325" t="s">
        <v>563</v>
      </c>
      <c r="M269" s="68" t="s">
        <v>576</v>
      </c>
      <c r="N269" s="165">
        <v>5.4</v>
      </c>
      <c r="O269" s="165">
        <v>1.5</v>
      </c>
      <c r="P269" s="275">
        <f t="shared" si="9"/>
        <v>13.8</v>
      </c>
      <c r="Q269" s="258">
        <v>1</v>
      </c>
      <c r="R269" s="274">
        <f>Q269*P269</f>
        <v>13.8</v>
      </c>
      <c r="S269" s="416"/>
      <c r="T269" s="278"/>
    </row>
    <row r="270" spans="3:20" ht="15.75">
      <c r="C270" s="263"/>
      <c r="D270" s="68"/>
      <c r="E270" s="165">
        <v>9</v>
      </c>
      <c r="F270" s="165">
        <v>3.5</v>
      </c>
      <c r="G270" s="275">
        <f t="shared" si="11"/>
        <v>31.5</v>
      </c>
      <c r="H270" s="258">
        <v>1</v>
      </c>
      <c r="I270" s="274">
        <f t="shared" si="12"/>
        <v>31.5</v>
      </c>
      <c r="J270" s="418"/>
      <c r="K270" s="281"/>
      <c r="L270" s="263"/>
      <c r="M270" s="68"/>
      <c r="N270" s="165">
        <v>9</v>
      </c>
      <c r="O270" s="165">
        <v>3.5</v>
      </c>
      <c r="P270" s="275">
        <f t="shared" si="9"/>
        <v>25</v>
      </c>
      <c r="Q270" s="258">
        <v>1</v>
      </c>
      <c r="R270" s="274">
        <f t="shared" si="10"/>
        <v>25</v>
      </c>
      <c r="S270" s="418"/>
      <c r="T270" s="278"/>
    </row>
    <row r="271" spans="3:20" ht="15.75">
      <c r="C271" s="325"/>
      <c r="D271" s="68"/>
      <c r="E271" s="165">
        <v>6</v>
      </c>
      <c r="F271" s="165">
        <v>3</v>
      </c>
      <c r="G271" s="275">
        <f t="shared" si="11"/>
        <v>18</v>
      </c>
      <c r="H271" s="258">
        <v>1</v>
      </c>
      <c r="I271" s="274">
        <f t="shared" si="12"/>
        <v>18</v>
      </c>
      <c r="J271" s="276">
        <f>SUM(I269:I271)</f>
        <v>57.6</v>
      </c>
      <c r="K271" s="281"/>
      <c r="L271" s="325"/>
      <c r="M271" s="68"/>
      <c r="N271" s="165"/>
      <c r="O271" s="165">
        <v>3</v>
      </c>
      <c r="P271" s="275">
        <f t="shared" si="9"/>
        <v>6</v>
      </c>
      <c r="Q271" s="258">
        <v>1</v>
      </c>
      <c r="R271" s="274">
        <f t="shared" si="10"/>
        <v>6</v>
      </c>
      <c r="S271" s="276">
        <f>SUM(R269:R271)</f>
        <v>44.8</v>
      </c>
      <c r="T271" s="278"/>
    </row>
    <row r="272" spans="3:20" ht="15.75">
      <c r="C272" s="325" t="s">
        <v>564</v>
      </c>
      <c r="D272" s="68" t="s">
        <v>489</v>
      </c>
      <c r="E272" s="165">
        <v>9.45</v>
      </c>
      <c r="F272" s="165">
        <v>7.2</v>
      </c>
      <c r="G272" s="275">
        <f t="shared" si="11"/>
        <v>68.03999999999999</v>
      </c>
      <c r="H272" s="258">
        <v>1</v>
      </c>
      <c r="I272" s="274">
        <f t="shared" si="12"/>
        <v>68.03999999999999</v>
      </c>
      <c r="J272" s="276">
        <f>I272</f>
        <v>68.03999999999999</v>
      </c>
      <c r="K272" s="281"/>
      <c r="L272" s="325" t="s">
        <v>564</v>
      </c>
      <c r="M272" s="68" t="s">
        <v>576</v>
      </c>
      <c r="N272" s="165">
        <v>9.45</v>
      </c>
      <c r="O272" s="165">
        <v>7.2</v>
      </c>
      <c r="P272" s="275">
        <f t="shared" si="9"/>
        <v>33.3</v>
      </c>
      <c r="Q272" s="258">
        <v>1</v>
      </c>
      <c r="R272" s="274">
        <f t="shared" si="10"/>
        <v>33.3</v>
      </c>
      <c r="S272" s="276">
        <f>R272</f>
        <v>33.3</v>
      </c>
      <c r="T272" s="278"/>
    </row>
    <row r="273" spans="3:20" ht="15.75">
      <c r="C273" s="325" t="s">
        <v>565</v>
      </c>
      <c r="D273" s="68" t="s">
        <v>489</v>
      </c>
      <c r="E273" s="165">
        <v>3.5</v>
      </c>
      <c r="F273" s="165">
        <v>3.6</v>
      </c>
      <c r="G273" s="275">
        <f t="shared" si="11"/>
        <v>12.6</v>
      </c>
      <c r="H273" s="258">
        <v>1</v>
      </c>
      <c r="I273" s="274">
        <f t="shared" si="12"/>
        <v>12.6</v>
      </c>
      <c r="J273" s="276"/>
      <c r="K273" s="281"/>
      <c r="L273" s="325" t="s">
        <v>565</v>
      </c>
      <c r="M273" s="68" t="s">
        <v>576</v>
      </c>
      <c r="N273" s="165">
        <v>3.5</v>
      </c>
      <c r="O273" s="165"/>
      <c r="P273" s="275">
        <f t="shared" si="9"/>
        <v>7</v>
      </c>
      <c r="Q273" s="258">
        <v>1</v>
      </c>
      <c r="R273" s="274">
        <f t="shared" si="10"/>
        <v>7</v>
      </c>
      <c r="S273" s="276"/>
      <c r="T273" s="278"/>
    </row>
    <row r="274" spans="3:20" ht="15.75">
      <c r="C274" s="325"/>
      <c r="D274" s="258"/>
      <c r="E274" s="165">
        <v>3.525</v>
      </c>
      <c r="F274" s="165">
        <v>1.4</v>
      </c>
      <c r="G274" s="275">
        <f t="shared" si="11"/>
        <v>4.935</v>
      </c>
      <c r="H274" s="258">
        <v>1</v>
      </c>
      <c r="I274" s="274">
        <f t="shared" si="12"/>
        <v>4.935</v>
      </c>
      <c r="J274" s="276">
        <f>SUM(I273:I274)</f>
        <v>17.535</v>
      </c>
      <c r="K274" s="281"/>
      <c r="L274" s="325"/>
      <c r="M274" s="258"/>
      <c r="N274" s="165">
        <v>3.525</v>
      </c>
      <c r="O274" s="165">
        <v>1.4</v>
      </c>
      <c r="P274" s="275">
        <f t="shared" si="9"/>
        <v>9.85</v>
      </c>
      <c r="Q274" s="258">
        <v>1</v>
      </c>
      <c r="R274" s="274">
        <f t="shared" si="10"/>
        <v>9.85</v>
      </c>
      <c r="S274" s="276">
        <f>SUM(R273:R274)</f>
        <v>16.85</v>
      </c>
      <c r="T274" s="278"/>
    </row>
    <row r="275" spans="3:20" ht="15.75">
      <c r="C275" s="325" t="s">
        <v>566</v>
      </c>
      <c r="D275" s="68" t="s">
        <v>489</v>
      </c>
      <c r="E275" s="165">
        <v>4.5</v>
      </c>
      <c r="F275" s="165">
        <v>3</v>
      </c>
      <c r="G275" s="275">
        <f aca="true" t="shared" si="13" ref="G275:G305">E275*F275</f>
        <v>13.5</v>
      </c>
      <c r="H275" s="258">
        <v>1</v>
      </c>
      <c r="I275" s="274">
        <f aca="true" t="shared" si="14" ref="I275:I305">H275*G275</f>
        <v>13.5</v>
      </c>
      <c r="J275" s="276">
        <f aca="true" t="shared" si="15" ref="J275:J280">I275</f>
        <v>13.5</v>
      </c>
      <c r="K275" s="281"/>
      <c r="L275" s="325" t="s">
        <v>566</v>
      </c>
      <c r="M275" s="68" t="s">
        <v>576</v>
      </c>
      <c r="N275" s="165">
        <v>4.5</v>
      </c>
      <c r="O275" s="165">
        <v>3</v>
      </c>
      <c r="P275" s="275">
        <f t="shared" si="9"/>
        <v>15</v>
      </c>
      <c r="Q275" s="258">
        <v>1</v>
      </c>
      <c r="R275" s="274">
        <f t="shared" si="10"/>
        <v>15</v>
      </c>
      <c r="S275" s="276">
        <f>R275</f>
        <v>15</v>
      </c>
      <c r="T275" s="278"/>
    </row>
    <row r="276" spans="3:20" ht="15.75">
      <c r="C276" s="325" t="s">
        <v>567</v>
      </c>
      <c r="D276" s="68" t="s">
        <v>489</v>
      </c>
      <c r="E276" s="165">
        <v>4</v>
      </c>
      <c r="F276" s="165">
        <v>2.5</v>
      </c>
      <c r="G276" s="275">
        <f t="shared" si="13"/>
        <v>10</v>
      </c>
      <c r="H276" s="258">
        <v>1</v>
      </c>
      <c r="I276" s="274">
        <f t="shared" si="14"/>
        <v>10</v>
      </c>
      <c r="J276" s="276">
        <f t="shared" si="15"/>
        <v>10</v>
      </c>
      <c r="K276" s="281"/>
      <c r="L276" s="325" t="s">
        <v>567</v>
      </c>
      <c r="M276" s="68" t="s">
        <v>576</v>
      </c>
      <c r="N276" s="165">
        <v>4</v>
      </c>
      <c r="O276" s="165">
        <v>2.5</v>
      </c>
      <c r="P276" s="275">
        <f t="shared" si="9"/>
        <v>13</v>
      </c>
      <c r="Q276" s="258">
        <v>1</v>
      </c>
      <c r="R276" s="274">
        <f t="shared" si="10"/>
        <v>13</v>
      </c>
      <c r="S276" s="276">
        <f>R276</f>
        <v>13</v>
      </c>
      <c r="T276" s="278"/>
    </row>
    <row r="277" spans="3:20" ht="15.75">
      <c r="C277" s="325" t="s">
        <v>568</v>
      </c>
      <c r="D277" s="68" t="s">
        <v>489</v>
      </c>
      <c r="E277" s="165">
        <v>2.5</v>
      </c>
      <c r="F277" s="165">
        <v>2</v>
      </c>
      <c r="G277" s="275">
        <f t="shared" si="13"/>
        <v>5</v>
      </c>
      <c r="H277" s="258">
        <v>1</v>
      </c>
      <c r="I277" s="274">
        <f t="shared" si="14"/>
        <v>5</v>
      </c>
      <c r="J277" s="276">
        <f t="shared" si="15"/>
        <v>5</v>
      </c>
      <c r="K277" s="281"/>
      <c r="L277" s="325" t="s">
        <v>568</v>
      </c>
      <c r="M277" s="68" t="s">
        <v>576</v>
      </c>
      <c r="N277" s="165">
        <v>2.5</v>
      </c>
      <c r="O277" s="165">
        <v>2</v>
      </c>
      <c r="P277" s="275">
        <f t="shared" si="9"/>
        <v>9</v>
      </c>
      <c r="Q277" s="258">
        <v>1</v>
      </c>
      <c r="R277" s="274">
        <f t="shared" si="10"/>
        <v>9</v>
      </c>
      <c r="S277" s="276">
        <f>R277</f>
        <v>9</v>
      </c>
      <c r="T277" s="278"/>
    </row>
    <row r="278" spans="3:20" ht="15.75">
      <c r="C278" s="325" t="s">
        <v>569</v>
      </c>
      <c r="D278" s="68" t="s">
        <v>489</v>
      </c>
      <c r="E278" s="165">
        <v>2.5</v>
      </c>
      <c r="F278" s="165">
        <v>1.8</v>
      </c>
      <c r="G278" s="275">
        <f t="shared" si="13"/>
        <v>4.5</v>
      </c>
      <c r="H278" s="258">
        <v>1</v>
      </c>
      <c r="I278" s="274">
        <f t="shared" si="14"/>
        <v>4.5</v>
      </c>
      <c r="J278" s="276">
        <f t="shared" si="15"/>
        <v>4.5</v>
      </c>
      <c r="K278" s="281"/>
      <c r="L278" s="325" t="s">
        <v>569</v>
      </c>
      <c r="M278" s="68" t="s">
        <v>576</v>
      </c>
      <c r="N278" s="165">
        <v>2.5</v>
      </c>
      <c r="O278" s="165">
        <v>1.8</v>
      </c>
      <c r="P278" s="275">
        <f t="shared" si="9"/>
        <v>8.6</v>
      </c>
      <c r="Q278" s="258">
        <v>1</v>
      </c>
      <c r="R278" s="274">
        <f t="shared" si="10"/>
        <v>8.6</v>
      </c>
      <c r="S278" s="276">
        <f>R278</f>
        <v>8.6</v>
      </c>
      <c r="T278" s="278"/>
    </row>
    <row r="279" spans="3:20" ht="15.75">
      <c r="C279" s="325" t="s">
        <v>570</v>
      </c>
      <c r="D279" s="68" t="s">
        <v>489</v>
      </c>
      <c r="E279" s="165">
        <v>2.5</v>
      </c>
      <c r="F279" s="165">
        <v>1.2</v>
      </c>
      <c r="G279" s="275">
        <f t="shared" si="13"/>
        <v>3</v>
      </c>
      <c r="H279" s="258">
        <v>1</v>
      </c>
      <c r="I279" s="274">
        <f t="shared" si="14"/>
        <v>3</v>
      </c>
      <c r="J279" s="276">
        <f t="shared" si="15"/>
        <v>3</v>
      </c>
      <c r="K279" s="281">
        <f>SUM(J269:J279)</f>
        <v>179.17499999999998</v>
      </c>
      <c r="L279" s="325" t="s">
        <v>570</v>
      </c>
      <c r="M279" s="68" t="s">
        <v>576</v>
      </c>
      <c r="N279" s="165">
        <v>2.5</v>
      </c>
      <c r="O279" s="165">
        <v>1.2</v>
      </c>
      <c r="P279" s="275">
        <f t="shared" si="9"/>
        <v>7.4</v>
      </c>
      <c r="Q279" s="258">
        <v>1</v>
      </c>
      <c r="R279" s="274">
        <f t="shared" si="10"/>
        <v>7.4</v>
      </c>
      <c r="S279" s="276">
        <f>R279</f>
        <v>7.4</v>
      </c>
      <c r="T279" s="278"/>
    </row>
    <row r="280" spans="3:20" ht="15.75">
      <c r="C280" s="325" t="s">
        <v>571</v>
      </c>
      <c r="D280" s="484" t="s">
        <v>491</v>
      </c>
      <c r="E280" s="165">
        <v>3.6</v>
      </c>
      <c r="F280" s="165">
        <v>3.5</v>
      </c>
      <c r="G280" s="275">
        <f t="shared" si="13"/>
        <v>12.6</v>
      </c>
      <c r="H280" s="258">
        <v>1</v>
      </c>
      <c r="I280" s="274">
        <f t="shared" si="14"/>
        <v>12.6</v>
      </c>
      <c r="J280" s="483">
        <f t="shared" si="15"/>
        <v>12.6</v>
      </c>
      <c r="K280" s="281"/>
      <c r="L280" s="325" t="s">
        <v>571</v>
      </c>
      <c r="M280" s="484" t="s">
        <v>491</v>
      </c>
      <c r="N280" s="165"/>
      <c r="O280" s="165"/>
      <c r="P280" s="275"/>
      <c r="Q280" s="258"/>
      <c r="R280" s="274"/>
      <c r="S280" s="483"/>
      <c r="T280" s="278"/>
    </row>
    <row r="281" spans="3:20" ht="15.75">
      <c r="C281" s="325"/>
      <c r="D281" s="484" t="s">
        <v>492</v>
      </c>
      <c r="E281" s="165">
        <v>3.6</v>
      </c>
      <c r="F281" s="165">
        <v>1.8</v>
      </c>
      <c r="G281" s="275">
        <f t="shared" si="13"/>
        <v>6.48</v>
      </c>
      <c r="H281" s="258">
        <v>2</v>
      </c>
      <c r="I281" s="274">
        <f t="shared" si="14"/>
        <v>12.96</v>
      </c>
      <c r="J281" s="483"/>
      <c r="K281" s="281"/>
      <c r="L281" s="325"/>
      <c r="M281" s="484" t="s">
        <v>492</v>
      </c>
      <c r="N281" s="165"/>
      <c r="O281" s="165"/>
      <c r="P281" s="275"/>
      <c r="Q281" s="258"/>
      <c r="R281" s="274"/>
      <c r="S281" s="483"/>
      <c r="T281" s="278"/>
    </row>
    <row r="282" spans="3:20" ht="15.75">
      <c r="C282" s="325"/>
      <c r="D282" s="68"/>
      <c r="E282" s="165">
        <v>2.6</v>
      </c>
      <c r="F282" s="165">
        <v>1.8</v>
      </c>
      <c r="G282" s="275">
        <f t="shared" si="13"/>
        <v>4.680000000000001</v>
      </c>
      <c r="H282" s="258">
        <v>2</v>
      </c>
      <c r="I282" s="274">
        <f t="shared" si="14"/>
        <v>9.360000000000001</v>
      </c>
      <c r="J282" s="483"/>
      <c r="K282" s="281"/>
      <c r="L282" s="325"/>
      <c r="M282" s="68"/>
      <c r="N282" s="165"/>
      <c r="O282" s="165"/>
      <c r="P282" s="275"/>
      <c r="Q282" s="258"/>
      <c r="R282" s="274"/>
      <c r="S282" s="483"/>
      <c r="T282" s="278"/>
    </row>
    <row r="283" spans="3:20" ht="15.75">
      <c r="C283" s="325"/>
      <c r="D283" s="68"/>
      <c r="E283" s="165">
        <v>3.5</v>
      </c>
      <c r="F283" s="165">
        <v>1.8</v>
      </c>
      <c r="G283" s="275">
        <f t="shared" si="13"/>
        <v>6.3</v>
      </c>
      <c r="H283" s="258">
        <v>1</v>
      </c>
      <c r="I283" s="274">
        <f t="shared" si="14"/>
        <v>6.3</v>
      </c>
      <c r="J283" s="483"/>
      <c r="K283" s="281"/>
      <c r="L283" s="325"/>
      <c r="M283" s="68"/>
      <c r="N283" s="165"/>
      <c r="O283" s="165"/>
      <c r="P283" s="275"/>
      <c r="Q283" s="258"/>
      <c r="R283" s="274"/>
      <c r="S283" s="483"/>
      <c r="T283" s="278"/>
    </row>
    <row r="284" spans="3:20" ht="15.75">
      <c r="C284" s="325"/>
      <c r="D284" s="68"/>
      <c r="E284" s="165">
        <v>2.7</v>
      </c>
      <c r="F284" s="165">
        <v>1.8</v>
      </c>
      <c r="G284" s="275">
        <f t="shared" si="13"/>
        <v>4.86</v>
      </c>
      <c r="H284" s="258">
        <v>1</v>
      </c>
      <c r="I284" s="274">
        <f t="shared" si="14"/>
        <v>4.86</v>
      </c>
      <c r="J284" s="483"/>
      <c r="K284" s="281"/>
      <c r="L284" s="325"/>
      <c r="M284" s="68"/>
      <c r="N284" s="165"/>
      <c r="O284" s="165"/>
      <c r="P284" s="275"/>
      <c r="Q284" s="258"/>
      <c r="R284" s="274"/>
      <c r="S284" s="483"/>
      <c r="T284" s="278"/>
    </row>
    <row r="285" spans="3:20" ht="15.75">
      <c r="C285" s="325"/>
      <c r="D285" s="68"/>
      <c r="E285" s="165">
        <v>1</v>
      </c>
      <c r="F285" s="165">
        <v>1.8</v>
      </c>
      <c r="G285" s="275">
        <f t="shared" si="13"/>
        <v>1.8</v>
      </c>
      <c r="H285" s="258">
        <v>6</v>
      </c>
      <c r="I285" s="274">
        <f t="shared" si="14"/>
        <v>10.8</v>
      </c>
      <c r="J285" s="483">
        <f>SUM(I281:I285)</f>
        <v>44.28</v>
      </c>
      <c r="K285" s="281"/>
      <c r="L285" s="325"/>
      <c r="M285" s="68"/>
      <c r="N285" s="165"/>
      <c r="O285" s="165"/>
      <c r="P285" s="275"/>
      <c r="Q285" s="258"/>
      <c r="R285" s="274"/>
      <c r="S285" s="483"/>
      <c r="T285" s="278"/>
    </row>
    <row r="286" spans="3:20" ht="15.75">
      <c r="C286" s="325" t="s">
        <v>572</v>
      </c>
      <c r="D286" s="484" t="s">
        <v>491</v>
      </c>
      <c r="E286" s="165">
        <v>3.6</v>
      </c>
      <c r="F286" s="165">
        <v>3.5</v>
      </c>
      <c r="G286" s="275">
        <f aca="true" t="shared" si="16" ref="G286:G291">E286*F286</f>
        <v>12.6</v>
      </c>
      <c r="H286" s="258">
        <v>1</v>
      </c>
      <c r="I286" s="274">
        <f aca="true" t="shared" si="17" ref="I286:I291">H286*G286</f>
        <v>12.6</v>
      </c>
      <c r="J286" s="483">
        <f>I286</f>
        <v>12.6</v>
      </c>
      <c r="K286" s="281"/>
      <c r="L286" s="325" t="s">
        <v>572</v>
      </c>
      <c r="M286" s="484" t="s">
        <v>491</v>
      </c>
      <c r="N286" s="165"/>
      <c r="O286" s="165"/>
      <c r="P286" s="275"/>
      <c r="Q286" s="258"/>
      <c r="R286" s="274"/>
      <c r="S286" s="483"/>
      <c r="T286" s="278"/>
    </row>
    <row r="287" spans="3:20" ht="15.75">
      <c r="C287" s="325"/>
      <c r="D287" s="484" t="s">
        <v>492</v>
      </c>
      <c r="E287" s="165">
        <v>3.6</v>
      </c>
      <c r="F287" s="165">
        <v>1.8</v>
      </c>
      <c r="G287" s="275">
        <f t="shared" si="16"/>
        <v>6.48</v>
      </c>
      <c r="H287" s="258">
        <v>2</v>
      </c>
      <c r="I287" s="274">
        <f t="shared" si="17"/>
        <v>12.96</v>
      </c>
      <c r="J287" s="483"/>
      <c r="K287" s="281"/>
      <c r="L287" s="325"/>
      <c r="M287" s="484" t="s">
        <v>492</v>
      </c>
      <c r="N287" s="165"/>
      <c r="O287" s="165"/>
      <c r="P287" s="275"/>
      <c r="Q287" s="258"/>
      <c r="R287" s="274"/>
      <c r="S287" s="483"/>
      <c r="T287" s="278"/>
    </row>
    <row r="288" spans="3:20" ht="15.75">
      <c r="C288" s="325"/>
      <c r="D288" s="68"/>
      <c r="E288" s="165">
        <v>2.6</v>
      </c>
      <c r="F288" s="165">
        <v>1.8</v>
      </c>
      <c r="G288" s="275">
        <f t="shared" si="16"/>
        <v>4.680000000000001</v>
      </c>
      <c r="H288" s="258">
        <v>2</v>
      </c>
      <c r="I288" s="274">
        <f t="shared" si="17"/>
        <v>9.360000000000001</v>
      </c>
      <c r="J288" s="483"/>
      <c r="K288" s="281"/>
      <c r="L288" s="325"/>
      <c r="M288" s="68"/>
      <c r="N288" s="165"/>
      <c r="O288" s="165"/>
      <c r="P288" s="275"/>
      <c r="Q288" s="258"/>
      <c r="R288" s="274"/>
      <c r="S288" s="483"/>
      <c r="T288" s="278"/>
    </row>
    <row r="289" spans="3:20" ht="15.75">
      <c r="C289" s="325"/>
      <c r="D289" s="68"/>
      <c r="E289" s="165">
        <v>3.5</v>
      </c>
      <c r="F289" s="165">
        <v>1.8</v>
      </c>
      <c r="G289" s="275">
        <f t="shared" si="16"/>
        <v>6.3</v>
      </c>
      <c r="H289" s="258">
        <v>1</v>
      </c>
      <c r="I289" s="274">
        <f t="shared" si="17"/>
        <v>6.3</v>
      </c>
      <c r="J289" s="483"/>
      <c r="K289" s="281"/>
      <c r="L289" s="325"/>
      <c r="M289" s="68"/>
      <c r="N289" s="165"/>
      <c r="O289" s="165"/>
      <c r="P289" s="275"/>
      <c r="Q289" s="258"/>
      <c r="R289" s="274"/>
      <c r="S289" s="483"/>
      <c r="T289" s="278"/>
    </row>
    <row r="290" spans="3:20" ht="15.75">
      <c r="C290" s="325"/>
      <c r="D290" s="68"/>
      <c r="E290" s="165">
        <v>2.7</v>
      </c>
      <c r="F290" s="165">
        <v>1.8</v>
      </c>
      <c r="G290" s="275">
        <f t="shared" si="16"/>
        <v>4.86</v>
      </c>
      <c r="H290" s="258">
        <v>1</v>
      </c>
      <c r="I290" s="274">
        <f t="shared" si="17"/>
        <v>4.86</v>
      </c>
      <c r="J290" s="483"/>
      <c r="K290" s="281"/>
      <c r="L290" s="325"/>
      <c r="M290" s="68"/>
      <c r="N290" s="165"/>
      <c r="O290" s="165"/>
      <c r="P290" s="275"/>
      <c r="Q290" s="258"/>
      <c r="R290" s="274"/>
      <c r="S290" s="483"/>
      <c r="T290" s="278"/>
    </row>
    <row r="291" spans="3:20" ht="15.75">
      <c r="C291" s="325"/>
      <c r="D291" s="68"/>
      <c r="E291" s="165">
        <v>1</v>
      </c>
      <c r="F291" s="165">
        <v>1.8</v>
      </c>
      <c r="G291" s="275">
        <f t="shared" si="16"/>
        <v>1.8</v>
      </c>
      <c r="H291" s="258">
        <v>6</v>
      </c>
      <c r="I291" s="274">
        <f t="shared" si="17"/>
        <v>10.8</v>
      </c>
      <c r="J291" s="483">
        <f>SUM(I287:I291)</f>
        <v>44.28</v>
      </c>
      <c r="K291" s="281"/>
      <c r="L291" s="325"/>
      <c r="M291" s="68"/>
      <c r="N291" s="165"/>
      <c r="O291" s="165"/>
      <c r="P291" s="275"/>
      <c r="Q291" s="258"/>
      <c r="R291" s="274"/>
      <c r="S291" s="483"/>
      <c r="T291" s="278"/>
    </row>
    <row r="292" spans="3:20" ht="15.75">
      <c r="C292" s="325" t="s">
        <v>573</v>
      </c>
      <c r="D292" s="68" t="s">
        <v>489</v>
      </c>
      <c r="E292" s="165">
        <v>4.6</v>
      </c>
      <c r="F292" s="165">
        <v>2</v>
      </c>
      <c r="G292" s="275">
        <f t="shared" si="13"/>
        <v>9.2</v>
      </c>
      <c r="H292" s="258">
        <v>1</v>
      </c>
      <c r="I292" s="274">
        <f t="shared" si="14"/>
        <v>9.2</v>
      </c>
      <c r="J292" s="276"/>
      <c r="K292" s="281"/>
      <c r="L292" s="325" t="s">
        <v>573</v>
      </c>
      <c r="M292" s="68" t="s">
        <v>576</v>
      </c>
      <c r="N292" s="165">
        <v>4.6</v>
      </c>
      <c r="O292" s="165">
        <v>2</v>
      </c>
      <c r="P292" s="275">
        <f t="shared" si="9"/>
        <v>13.2</v>
      </c>
      <c r="Q292" s="258">
        <v>1</v>
      </c>
      <c r="R292" s="274">
        <f t="shared" si="10"/>
        <v>13.2</v>
      </c>
      <c r="S292" s="276"/>
      <c r="T292" s="278"/>
    </row>
    <row r="293" spans="3:20" ht="15.75">
      <c r="C293" s="325"/>
      <c r="D293" s="68"/>
      <c r="E293" s="165">
        <f>(0.9+2)/2</f>
        <v>1.45</v>
      </c>
      <c r="F293" s="165">
        <v>2</v>
      </c>
      <c r="G293" s="275">
        <f t="shared" si="13"/>
        <v>2.9</v>
      </c>
      <c r="H293" s="258">
        <v>1</v>
      </c>
      <c r="I293" s="274">
        <f t="shared" si="14"/>
        <v>2.9</v>
      </c>
      <c r="J293" s="276"/>
      <c r="K293" s="281"/>
      <c r="L293" s="325"/>
      <c r="M293" s="68"/>
      <c r="N293" s="165"/>
      <c r="O293" s="165"/>
      <c r="P293" s="275">
        <f t="shared" si="9"/>
        <v>0</v>
      </c>
      <c r="Q293" s="258">
        <v>1</v>
      </c>
      <c r="R293" s="274">
        <f t="shared" si="10"/>
        <v>0</v>
      </c>
      <c r="S293" s="276"/>
      <c r="T293" s="278"/>
    </row>
    <row r="294" spans="3:20" ht="15.75">
      <c r="C294" s="325"/>
      <c r="D294" s="68"/>
      <c r="E294" s="165">
        <v>4</v>
      </c>
      <c r="F294" s="165">
        <v>0.3</v>
      </c>
      <c r="G294" s="275">
        <f t="shared" si="13"/>
        <v>1.2</v>
      </c>
      <c r="H294" s="258">
        <v>1</v>
      </c>
      <c r="I294" s="274">
        <f t="shared" si="14"/>
        <v>1.2</v>
      </c>
      <c r="J294" s="276"/>
      <c r="K294" s="281"/>
      <c r="L294" s="325"/>
      <c r="M294" s="68"/>
      <c r="N294" s="165"/>
      <c r="O294" s="165"/>
      <c r="P294" s="275">
        <f t="shared" si="9"/>
        <v>0</v>
      </c>
      <c r="Q294" s="258">
        <v>1</v>
      </c>
      <c r="R294" s="274">
        <f t="shared" si="10"/>
        <v>0</v>
      </c>
      <c r="S294" s="276"/>
      <c r="T294" s="278"/>
    </row>
    <row r="295" spans="3:20" ht="15.75">
      <c r="C295" s="325"/>
      <c r="D295" s="68"/>
      <c r="E295" s="165">
        <v>3</v>
      </c>
      <c r="F295" s="165">
        <v>0.3</v>
      </c>
      <c r="G295" s="275">
        <f t="shared" si="13"/>
        <v>0.8999999999999999</v>
      </c>
      <c r="H295" s="258">
        <v>1</v>
      </c>
      <c r="I295" s="274">
        <f t="shared" si="14"/>
        <v>0.8999999999999999</v>
      </c>
      <c r="J295" s="276"/>
      <c r="K295" s="281"/>
      <c r="L295" s="325"/>
      <c r="M295" s="68"/>
      <c r="N295" s="165"/>
      <c r="O295" s="165"/>
      <c r="P295" s="275">
        <f t="shared" si="9"/>
        <v>0</v>
      </c>
      <c r="Q295" s="258">
        <v>1</v>
      </c>
      <c r="R295" s="274">
        <f t="shared" si="10"/>
        <v>0</v>
      </c>
      <c r="S295" s="276"/>
      <c r="T295" s="278"/>
    </row>
    <row r="296" spans="3:20" ht="15.75">
      <c r="C296" s="325"/>
      <c r="D296" s="68"/>
      <c r="E296" s="165">
        <v>4</v>
      </c>
      <c r="F296" s="165">
        <v>0.36</v>
      </c>
      <c r="G296" s="275">
        <f t="shared" si="13"/>
        <v>1.44</v>
      </c>
      <c r="H296" s="258">
        <v>1</v>
      </c>
      <c r="I296" s="274">
        <f t="shared" si="14"/>
        <v>1.44</v>
      </c>
      <c r="J296" s="276">
        <f>SUM(I292:I296)</f>
        <v>15.639999999999999</v>
      </c>
      <c r="K296" s="281"/>
      <c r="L296" s="325"/>
      <c r="M296" s="68"/>
      <c r="N296" s="165"/>
      <c r="O296" s="165"/>
      <c r="P296" s="275">
        <f t="shared" si="9"/>
        <v>0</v>
      </c>
      <c r="Q296" s="258">
        <v>1</v>
      </c>
      <c r="R296" s="274">
        <f t="shared" si="10"/>
        <v>0</v>
      </c>
      <c r="S296" s="276">
        <f>SUM(R292:R296)</f>
        <v>13.2</v>
      </c>
      <c r="T296" s="278"/>
    </row>
    <row r="297" spans="3:20" ht="15.75">
      <c r="C297" s="325" t="s">
        <v>574</v>
      </c>
      <c r="D297" s="68" t="s">
        <v>489</v>
      </c>
      <c r="E297" s="165">
        <v>4.6</v>
      </c>
      <c r="F297" s="165">
        <v>2</v>
      </c>
      <c r="G297" s="275">
        <f>E297*F297</f>
        <v>9.2</v>
      </c>
      <c r="H297" s="258">
        <v>1</v>
      </c>
      <c r="I297" s="274">
        <f>H297*G297</f>
        <v>9.2</v>
      </c>
      <c r="J297" s="276"/>
      <c r="K297" s="281"/>
      <c r="L297" s="325" t="s">
        <v>574</v>
      </c>
      <c r="M297" s="68" t="s">
        <v>576</v>
      </c>
      <c r="N297" s="165">
        <v>4.6</v>
      </c>
      <c r="O297" s="165">
        <v>2</v>
      </c>
      <c r="P297" s="275">
        <f t="shared" si="9"/>
        <v>13.2</v>
      </c>
      <c r="Q297" s="258">
        <v>1</v>
      </c>
      <c r="R297" s="274">
        <f t="shared" si="10"/>
        <v>13.2</v>
      </c>
      <c r="S297" s="276"/>
      <c r="T297" s="278"/>
    </row>
    <row r="298" spans="3:20" ht="15.75">
      <c r="C298" s="325"/>
      <c r="D298" s="68"/>
      <c r="E298" s="165">
        <f>(0.9+2)/2</f>
        <v>1.45</v>
      </c>
      <c r="F298" s="165">
        <v>2</v>
      </c>
      <c r="G298" s="275">
        <f>E298*F298</f>
        <v>2.9</v>
      </c>
      <c r="H298" s="258">
        <v>1</v>
      </c>
      <c r="I298" s="274">
        <f>H298*G298</f>
        <v>2.9</v>
      </c>
      <c r="J298" s="276"/>
      <c r="K298" s="281"/>
      <c r="L298" s="325"/>
      <c r="M298" s="68"/>
      <c r="N298" s="165"/>
      <c r="O298" s="165"/>
      <c r="P298" s="275">
        <f t="shared" si="9"/>
        <v>0</v>
      </c>
      <c r="Q298" s="258">
        <v>1</v>
      </c>
      <c r="R298" s="274">
        <f t="shared" si="10"/>
        <v>0</v>
      </c>
      <c r="S298" s="276"/>
      <c r="T298" s="278"/>
    </row>
    <row r="299" spans="3:20" ht="15.75">
      <c r="C299" s="325"/>
      <c r="D299" s="68"/>
      <c r="E299" s="165">
        <v>4</v>
      </c>
      <c r="F299" s="165">
        <v>0.3</v>
      </c>
      <c r="G299" s="275">
        <f>E299*F299</f>
        <v>1.2</v>
      </c>
      <c r="H299" s="258">
        <v>1</v>
      </c>
      <c r="I299" s="274">
        <f>H299*G299</f>
        <v>1.2</v>
      </c>
      <c r="J299" s="276"/>
      <c r="K299" s="281"/>
      <c r="L299" s="325"/>
      <c r="M299" s="68"/>
      <c r="N299" s="165"/>
      <c r="O299" s="165"/>
      <c r="P299" s="275">
        <f t="shared" si="9"/>
        <v>0</v>
      </c>
      <c r="Q299" s="258">
        <v>1</v>
      </c>
      <c r="R299" s="274">
        <f t="shared" si="10"/>
        <v>0</v>
      </c>
      <c r="S299" s="276"/>
      <c r="T299" s="278"/>
    </row>
    <row r="300" spans="3:20" ht="15.75">
      <c r="C300" s="325"/>
      <c r="D300" s="68"/>
      <c r="E300" s="165">
        <v>3</v>
      </c>
      <c r="F300" s="165">
        <v>0.3</v>
      </c>
      <c r="G300" s="275">
        <f>E300*F300</f>
        <v>0.8999999999999999</v>
      </c>
      <c r="H300" s="258">
        <v>1</v>
      </c>
      <c r="I300" s="274">
        <f>H300*G300</f>
        <v>0.8999999999999999</v>
      </c>
      <c r="J300" s="276"/>
      <c r="K300" s="281"/>
      <c r="L300" s="325"/>
      <c r="M300" s="68"/>
      <c r="N300" s="165"/>
      <c r="O300" s="165"/>
      <c r="P300" s="275">
        <f>(N300+O300)*2</f>
        <v>0</v>
      </c>
      <c r="Q300" s="258">
        <v>1</v>
      </c>
      <c r="R300" s="274">
        <f t="shared" si="10"/>
        <v>0</v>
      </c>
      <c r="S300" s="276"/>
      <c r="T300" s="278"/>
    </row>
    <row r="301" spans="3:20" ht="15.75">
      <c r="C301" s="325"/>
      <c r="D301" s="68"/>
      <c r="E301" s="165">
        <v>4</v>
      </c>
      <c r="F301" s="165">
        <v>0.36</v>
      </c>
      <c r="G301" s="275">
        <f>E301*F301</f>
        <v>1.44</v>
      </c>
      <c r="H301" s="258">
        <v>1</v>
      </c>
      <c r="I301" s="274">
        <f>H301*G301</f>
        <v>1.44</v>
      </c>
      <c r="J301" s="276">
        <f>SUM(I297:I301)</f>
        <v>15.639999999999999</v>
      </c>
      <c r="K301" s="281"/>
      <c r="L301" s="325"/>
      <c r="M301" s="68"/>
      <c r="N301" s="165"/>
      <c r="O301" s="165"/>
      <c r="P301" s="275">
        <f t="shared" si="9"/>
        <v>0</v>
      </c>
      <c r="Q301" s="258">
        <v>1</v>
      </c>
      <c r="R301" s="274">
        <f t="shared" si="10"/>
        <v>0</v>
      </c>
      <c r="S301" s="276">
        <f>SUM(R297:R301)</f>
        <v>13.2</v>
      </c>
      <c r="T301" s="278"/>
    </row>
    <row r="302" spans="3:20" ht="15.75">
      <c r="C302" s="325" t="s">
        <v>575</v>
      </c>
      <c r="D302" s="68" t="s">
        <v>489</v>
      </c>
      <c r="E302" s="165">
        <v>3.5</v>
      </c>
      <c r="F302" s="165">
        <v>2.7</v>
      </c>
      <c r="G302" s="275">
        <f t="shared" si="13"/>
        <v>9.450000000000001</v>
      </c>
      <c r="H302" s="258">
        <v>1</v>
      </c>
      <c r="I302" s="274">
        <f t="shared" si="14"/>
        <v>9.450000000000001</v>
      </c>
      <c r="J302" s="276"/>
      <c r="K302" s="281"/>
      <c r="L302" s="325" t="s">
        <v>575</v>
      </c>
      <c r="M302" s="68" t="s">
        <v>576</v>
      </c>
      <c r="N302" s="165">
        <v>3.5</v>
      </c>
      <c r="O302" s="165">
        <v>2.7</v>
      </c>
      <c r="P302" s="275">
        <f t="shared" si="9"/>
        <v>12.4</v>
      </c>
      <c r="Q302" s="258">
        <v>1</v>
      </c>
      <c r="R302" s="274">
        <f t="shared" si="10"/>
        <v>12.4</v>
      </c>
      <c r="S302" s="276"/>
      <c r="T302" s="278"/>
    </row>
    <row r="303" spans="3:20" ht="15.75">
      <c r="C303" s="325"/>
      <c r="D303" s="68"/>
      <c r="E303" s="165">
        <v>4.5</v>
      </c>
      <c r="F303" s="165">
        <v>0.3</v>
      </c>
      <c r="G303" s="275">
        <f t="shared" si="13"/>
        <v>1.3499999999999999</v>
      </c>
      <c r="H303" s="258">
        <v>1</v>
      </c>
      <c r="I303" s="274">
        <f t="shared" si="14"/>
        <v>1.3499999999999999</v>
      </c>
      <c r="J303" s="276"/>
      <c r="K303" s="281"/>
      <c r="L303" s="325"/>
      <c r="M303" s="68"/>
      <c r="N303" s="165"/>
      <c r="O303" s="165"/>
      <c r="P303" s="275">
        <f t="shared" si="9"/>
        <v>0</v>
      </c>
      <c r="Q303" s="258">
        <v>1</v>
      </c>
      <c r="R303" s="274">
        <f t="shared" si="10"/>
        <v>0</v>
      </c>
      <c r="S303" s="276"/>
      <c r="T303" s="278"/>
    </row>
    <row r="304" spans="3:20" ht="15.75">
      <c r="C304" s="325"/>
      <c r="D304" s="68"/>
      <c r="E304" s="165">
        <v>1.2</v>
      </c>
      <c r="F304" s="165">
        <v>0.3</v>
      </c>
      <c r="G304" s="275">
        <f t="shared" si="13"/>
        <v>0.36</v>
      </c>
      <c r="H304" s="258">
        <v>2</v>
      </c>
      <c r="I304" s="274">
        <f t="shared" si="14"/>
        <v>0.72</v>
      </c>
      <c r="J304" s="276"/>
      <c r="K304" s="281"/>
      <c r="L304" s="325"/>
      <c r="M304" s="68"/>
      <c r="N304" s="165"/>
      <c r="O304" s="165"/>
      <c r="P304" s="275">
        <f t="shared" si="9"/>
        <v>0</v>
      </c>
      <c r="Q304" s="258">
        <v>1</v>
      </c>
      <c r="R304" s="274">
        <f t="shared" si="10"/>
        <v>0</v>
      </c>
      <c r="S304" s="276"/>
      <c r="T304" s="278"/>
    </row>
    <row r="305" spans="3:20" ht="15.75">
      <c r="C305" s="325"/>
      <c r="D305" s="68"/>
      <c r="E305" s="165">
        <v>5.7</v>
      </c>
      <c r="F305" s="165">
        <v>0.36</v>
      </c>
      <c r="G305" s="275">
        <f t="shared" si="13"/>
        <v>2.052</v>
      </c>
      <c r="H305" s="258">
        <v>1</v>
      </c>
      <c r="I305" s="274">
        <f t="shared" si="14"/>
        <v>2.052</v>
      </c>
      <c r="J305" s="276">
        <f>SUM(I302:I305)</f>
        <v>13.572000000000001</v>
      </c>
      <c r="K305" s="485">
        <f>SUM(J292:J305)</f>
        <v>44.852</v>
      </c>
      <c r="L305" s="325"/>
      <c r="M305" s="68"/>
      <c r="N305" s="165"/>
      <c r="O305" s="165"/>
      <c r="P305" s="275">
        <f t="shared" si="9"/>
        <v>0</v>
      </c>
      <c r="Q305" s="258">
        <v>1</v>
      </c>
      <c r="R305" s="274">
        <f t="shared" si="10"/>
        <v>0</v>
      </c>
      <c r="S305" s="276">
        <f>SUM(R302:R305)</f>
        <v>12.4</v>
      </c>
      <c r="T305" s="278">
        <f>SUM(S244:S305)</f>
        <v>395.15</v>
      </c>
    </row>
    <row r="306" spans="3:20" ht="15.75">
      <c r="C306" s="325"/>
      <c r="D306" s="68"/>
      <c r="E306" s="165"/>
      <c r="F306" s="165"/>
      <c r="G306" s="275"/>
      <c r="H306" s="258"/>
      <c r="I306" s="274"/>
      <c r="J306" s="276"/>
      <c r="K306" s="431">
        <f>SUM(K244:K305)</f>
        <v>449.837</v>
      </c>
      <c r="L306" s="263"/>
      <c r="M306" s="258"/>
      <c r="N306" s="274"/>
      <c r="O306" s="274"/>
      <c r="P306" s="275"/>
      <c r="Q306" s="258"/>
      <c r="R306" s="274"/>
      <c r="S306" s="274"/>
      <c r="T306" s="278"/>
    </row>
    <row r="307" spans="3:20" ht="15.75">
      <c r="C307" s="325" t="s">
        <v>518</v>
      </c>
      <c r="D307" s="68"/>
      <c r="E307" s="165"/>
      <c r="F307" s="165"/>
      <c r="G307" s="275"/>
      <c r="H307" s="258"/>
      <c r="I307" s="274"/>
      <c r="J307" s="276"/>
      <c r="K307" s="281"/>
      <c r="L307" s="263"/>
      <c r="M307" s="258"/>
      <c r="N307" s="274"/>
      <c r="O307" s="274"/>
      <c r="P307" s="275"/>
      <c r="Q307" s="258"/>
      <c r="R307" s="274"/>
      <c r="S307" s="274"/>
      <c r="T307" s="278"/>
    </row>
    <row r="308" spans="3:20" ht="15.75">
      <c r="C308" s="325" t="s">
        <v>490</v>
      </c>
      <c r="D308" s="68"/>
      <c r="E308" s="165">
        <v>8.7</v>
      </c>
      <c r="F308" s="165">
        <v>6</v>
      </c>
      <c r="G308" s="275">
        <f>F308+E308</f>
        <v>14.7</v>
      </c>
      <c r="H308" s="258">
        <v>1</v>
      </c>
      <c r="I308" s="274">
        <f>H308*G308</f>
        <v>14.7</v>
      </c>
      <c r="J308" s="276"/>
      <c r="K308" s="281"/>
      <c r="L308" s="263"/>
      <c r="M308" s="258"/>
      <c r="N308" s="274"/>
      <c r="O308" s="274"/>
      <c r="P308" s="275"/>
      <c r="Q308" s="258"/>
      <c r="R308" s="274"/>
      <c r="S308" s="274"/>
      <c r="T308" s="278"/>
    </row>
    <row r="309" spans="3:20" ht="15.75">
      <c r="C309" s="325" t="s">
        <v>573</v>
      </c>
      <c r="D309" s="68"/>
      <c r="E309" s="165">
        <v>6</v>
      </c>
      <c r="F309" s="165">
        <v>4.6</v>
      </c>
      <c r="G309" s="275">
        <f>F309+E309</f>
        <v>10.6</v>
      </c>
      <c r="H309" s="258">
        <v>1</v>
      </c>
      <c r="I309" s="274">
        <f>H309*G309</f>
        <v>10.6</v>
      </c>
      <c r="J309" s="276"/>
      <c r="K309" s="281"/>
      <c r="L309" s="263"/>
      <c r="M309" s="258"/>
      <c r="N309" s="274"/>
      <c r="O309" s="274"/>
      <c r="P309" s="275"/>
      <c r="Q309" s="258"/>
      <c r="R309" s="274"/>
      <c r="S309" s="274"/>
      <c r="T309" s="278"/>
    </row>
    <row r="310" spans="3:20" ht="15.75">
      <c r="C310" s="325" t="s">
        <v>574</v>
      </c>
      <c r="D310" s="68"/>
      <c r="E310" s="165">
        <v>6</v>
      </c>
      <c r="F310" s="165">
        <v>4.6</v>
      </c>
      <c r="G310" s="275">
        <f>F310+E310</f>
        <v>10.6</v>
      </c>
      <c r="H310" s="258">
        <v>1</v>
      </c>
      <c r="I310" s="274">
        <f>H310*G310</f>
        <v>10.6</v>
      </c>
      <c r="J310" s="276"/>
      <c r="K310" s="281"/>
      <c r="L310" s="263"/>
      <c r="M310" s="258"/>
      <c r="N310" s="274"/>
      <c r="O310" s="274"/>
      <c r="P310" s="275"/>
      <c r="Q310" s="258"/>
      <c r="R310" s="274"/>
      <c r="S310" s="274"/>
      <c r="T310" s="278"/>
    </row>
    <row r="311" spans="3:20" ht="15.75">
      <c r="C311" s="325" t="s">
        <v>575</v>
      </c>
      <c r="D311" s="68"/>
      <c r="E311" s="165">
        <v>4.5</v>
      </c>
      <c r="F311" s="165">
        <v>0</v>
      </c>
      <c r="G311" s="275">
        <f>F311+E311</f>
        <v>4.5</v>
      </c>
      <c r="H311" s="258">
        <v>1</v>
      </c>
      <c r="I311" s="274">
        <f>H311*G311</f>
        <v>4.5</v>
      </c>
      <c r="J311" s="276">
        <f>SUM(I308:I311)</f>
        <v>40.4</v>
      </c>
      <c r="K311" s="281">
        <f>J311</f>
        <v>40.4</v>
      </c>
      <c r="L311" s="263"/>
      <c r="M311" s="258"/>
      <c r="N311" s="274"/>
      <c r="O311" s="274"/>
      <c r="P311" s="275"/>
      <c r="Q311" s="258"/>
      <c r="R311" s="274"/>
      <c r="S311" s="274"/>
      <c r="T311" s="278"/>
    </row>
    <row r="312" spans="3:20" ht="15.75">
      <c r="C312" s="325"/>
      <c r="D312" s="68"/>
      <c r="E312" s="165"/>
      <c r="F312" s="165"/>
      <c r="G312" s="275"/>
      <c r="H312" s="258"/>
      <c r="I312" s="274"/>
      <c r="J312" s="276"/>
      <c r="K312" s="281"/>
      <c r="L312" s="263"/>
      <c r="M312" s="258"/>
      <c r="N312" s="274"/>
      <c r="O312" s="274"/>
      <c r="P312" s="275"/>
      <c r="Q312" s="258"/>
      <c r="R312" s="274"/>
      <c r="S312" s="274"/>
      <c r="T312" s="278"/>
    </row>
    <row r="313" spans="3:20" ht="15.75">
      <c r="C313" s="325" t="s">
        <v>577</v>
      </c>
      <c r="D313" s="68"/>
      <c r="E313" s="165">
        <v>32</v>
      </c>
      <c r="F313" s="165"/>
      <c r="G313" s="275"/>
      <c r="H313" s="258"/>
      <c r="I313" s="274"/>
      <c r="J313" s="276"/>
      <c r="K313" s="281"/>
      <c r="L313" s="263"/>
      <c r="M313" s="258"/>
      <c r="N313" s="274"/>
      <c r="O313" s="274"/>
      <c r="P313" s="275"/>
      <c r="Q313" s="258"/>
      <c r="R313" s="274"/>
      <c r="S313" s="274"/>
      <c r="T313" s="278"/>
    </row>
    <row r="314" spans="3:20" ht="16.5" thickBot="1">
      <c r="C314" s="325"/>
      <c r="D314" s="68"/>
      <c r="E314" s="165">
        <v>18</v>
      </c>
      <c r="F314" s="165"/>
      <c r="G314" s="275"/>
      <c r="H314" s="258"/>
      <c r="I314" s="274"/>
      <c r="J314" s="276"/>
      <c r="K314" s="281"/>
      <c r="L314" s="263"/>
      <c r="M314" s="258"/>
      <c r="N314" s="274"/>
      <c r="O314" s="274"/>
      <c r="P314" s="275"/>
      <c r="Q314" s="258"/>
      <c r="R314" s="274"/>
      <c r="S314" s="274"/>
      <c r="T314" s="278"/>
    </row>
    <row r="315" spans="3:20" ht="15.75">
      <c r="C315" s="325"/>
      <c r="D315" s="68"/>
      <c r="E315" s="478">
        <f>SUM(E313:E314)</f>
        <v>50</v>
      </c>
      <c r="F315" s="258">
        <v>1.5</v>
      </c>
      <c r="G315" s="275">
        <f>F315*E315</f>
        <v>75</v>
      </c>
      <c r="H315" s="258">
        <v>2</v>
      </c>
      <c r="I315" s="274">
        <f>H315*G315</f>
        <v>150</v>
      </c>
      <c r="J315" s="276"/>
      <c r="K315" s="281"/>
      <c r="L315" s="263"/>
      <c r="M315" s="258"/>
      <c r="N315" s="274"/>
      <c r="O315" s="274"/>
      <c r="P315" s="275"/>
      <c r="Q315" s="258"/>
      <c r="R315" s="274"/>
      <c r="S315" s="274"/>
      <c r="T315" s="278"/>
    </row>
    <row r="316" spans="3:20" ht="15.75">
      <c r="C316" s="325"/>
      <c r="D316" s="68"/>
      <c r="E316" s="165">
        <f>F315</f>
        <v>1.5</v>
      </c>
      <c r="F316" s="165">
        <f>F315</f>
        <v>1.5</v>
      </c>
      <c r="G316" s="275">
        <f>F316*E316</f>
        <v>2.25</v>
      </c>
      <c r="H316" s="258">
        <v>4</v>
      </c>
      <c r="I316" s="274">
        <f>H316*G316</f>
        <v>9</v>
      </c>
      <c r="J316" s="276">
        <f>SUM(I315:I316)</f>
        <v>159</v>
      </c>
      <c r="K316" s="281">
        <f>J316</f>
        <v>159</v>
      </c>
      <c r="L316" s="263"/>
      <c r="M316" s="258"/>
      <c r="N316" s="274"/>
      <c r="O316" s="274"/>
      <c r="P316" s="275"/>
      <c r="Q316" s="258"/>
      <c r="R316" s="274"/>
      <c r="S316" s="274"/>
      <c r="T316" s="278"/>
    </row>
    <row r="317" spans="3:20" ht="15.75">
      <c r="C317" s="325"/>
      <c r="D317" s="68"/>
      <c r="E317" s="165"/>
      <c r="F317" s="165"/>
      <c r="G317" s="275"/>
      <c r="H317" s="258"/>
      <c r="I317" s="274"/>
      <c r="J317" s="276"/>
      <c r="K317" s="281"/>
      <c r="L317" s="263"/>
      <c r="M317" s="258"/>
      <c r="N317" s="274"/>
      <c r="O317" s="274"/>
      <c r="P317" s="275"/>
      <c r="Q317" s="258"/>
      <c r="R317" s="274"/>
      <c r="S317" s="274"/>
      <c r="T317" s="278"/>
    </row>
    <row r="318" spans="3:20" ht="15.75">
      <c r="C318" s="325" t="s">
        <v>732</v>
      </c>
      <c r="D318" s="68" t="s">
        <v>733</v>
      </c>
      <c r="E318" s="165">
        <v>3.9</v>
      </c>
      <c r="F318" s="165">
        <v>5.5</v>
      </c>
      <c r="G318" s="275">
        <f aca="true" t="shared" si="18" ref="G318:G323">F318*E318</f>
        <v>21.45</v>
      </c>
      <c r="H318" s="258">
        <v>1</v>
      </c>
      <c r="I318" s="274">
        <f aca="true" t="shared" si="19" ref="I318:I323">H318*G318</f>
        <v>21.45</v>
      </c>
      <c r="J318" s="276"/>
      <c r="K318" s="281"/>
      <c r="L318" s="263"/>
      <c r="M318" s="258"/>
      <c r="N318" s="274"/>
      <c r="O318" s="274"/>
      <c r="P318" s="275"/>
      <c r="Q318" s="258"/>
      <c r="R318" s="274"/>
      <c r="S318" s="274"/>
      <c r="T318" s="278"/>
    </row>
    <row r="319" spans="3:20" ht="15.75">
      <c r="C319" s="325"/>
      <c r="D319" s="68"/>
      <c r="E319" s="165">
        <v>0.75</v>
      </c>
      <c r="F319" s="165">
        <v>3.3</v>
      </c>
      <c r="G319" s="275">
        <f t="shared" si="18"/>
        <v>2.4749999999999996</v>
      </c>
      <c r="H319" s="258">
        <v>2</v>
      </c>
      <c r="I319" s="274">
        <f t="shared" si="19"/>
        <v>4.949999999999999</v>
      </c>
      <c r="J319" s="276">
        <f>SUM(I318:I319)</f>
        <v>26.4</v>
      </c>
      <c r="K319" s="281"/>
      <c r="L319" s="263"/>
      <c r="M319" s="258"/>
      <c r="N319" s="274"/>
      <c r="O319" s="274"/>
      <c r="P319" s="275"/>
      <c r="Q319" s="258"/>
      <c r="R319" s="274"/>
      <c r="S319" s="274"/>
      <c r="T319" s="278"/>
    </row>
    <row r="320" spans="3:20" ht="15.75">
      <c r="C320" s="325"/>
      <c r="D320" s="68" t="s">
        <v>734</v>
      </c>
      <c r="E320" s="165">
        <v>1.8</v>
      </c>
      <c r="F320" s="165">
        <v>6</v>
      </c>
      <c r="G320" s="275">
        <f t="shared" si="18"/>
        <v>10.8</v>
      </c>
      <c r="H320" s="258">
        <v>1</v>
      </c>
      <c r="I320" s="274">
        <f t="shared" si="19"/>
        <v>10.8</v>
      </c>
      <c r="J320" s="276"/>
      <c r="K320" s="281"/>
      <c r="L320" s="263"/>
      <c r="M320" s="258"/>
      <c r="N320" s="274"/>
      <c r="O320" s="274"/>
      <c r="P320" s="275"/>
      <c r="Q320" s="258"/>
      <c r="R320" s="274"/>
      <c r="S320" s="274"/>
      <c r="T320" s="278"/>
    </row>
    <row r="321" spans="3:20" ht="15.75">
      <c r="C321" s="325"/>
      <c r="D321" s="68"/>
      <c r="E321" s="165">
        <v>1.35</v>
      </c>
      <c r="F321" s="165">
        <v>8.7</v>
      </c>
      <c r="G321" s="275">
        <f t="shared" si="18"/>
        <v>11.745</v>
      </c>
      <c r="H321" s="258">
        <v>1</v>
      </c>
      <c r="I321" s="274">
        <f t="shared" si="19"/>
        <v>11.745</v>
      </c>
      <c r="J321" s="276"/>
      <c r="K321" s="281"/>
      <c r="L321" s="263"/>
      <c r="M321" s="258"/>
      <c r="N321" s="274"/>
      <c r="O321" s="274"/>
      <c r="P321" s="275"/>
      <c r="Q321" s="258"/>
      <c r="R321" s="274"/>
      <c r="S321" s="274"/>
      <c r="T321" s="278"/>
    </row>
    <row r="322" spans="3:20" ht="15.75">
      <c r="C322" s="325"/>
      <c r="D322" s="68"/>
      <c r="E322" s="165">
        <v>0.45</v>
      </c>
      <c r="F322" s="165">
        <v>6</v>
      </c>
      <c r="G322" s="275">
        <f t="shared" si="18"/>
        <v>2.7</v>
      </c>
      <c r="H322" s="258">
        <v>1</v>
      </c>
      <c r="I322" s="274">
        <f t="shared" si="19"/>
        <v>2.7</v>
      </c>
      <c r="J322" s="276"/>
      <c r="K322" s="281"/>
      <c r="L322" s="263"/>
      <c r="M322" s="258"/>
      <c r="N322" s="274"/>
      <c r="O322" s="274"/>
      <c r="P322" s="275"/>
      <c r="Q322" s="258"/>
      <c r="R322" s="274"/>
      <c r="S322" s="274"/>
      <c r="T322" s="278"/>
    </row>
    <row r="323" spans="3:20" ht="15.75">
      <c r="C323" s="325"/>
      <c r="D323" s="68"/>
      <c r="E323" s="165">
        <v>0.45</v>
      </c>
      <c r="F323" s="165">
        <v>3</v>
      </c>
      <c r="G323" s="275">
        <f t="shared" si="18"/>
        <v>1.35</v>
      </c>
      <c r="H323" s="258">
        <v>0.5</v>
      </c>
      <c r="I323" s="274">
        <f t="shared" si="19"/>
        <v>0.675</v>
      </c>
      <c r="J323" s="276">
        <f>SUM(I320:I323)</f>
        <v>25.92</v>
      </c>
      <c r="K323" s="281">
        <f>SUM(J318:J323)</f>
        <v>52.32</v>
      </c>
      <c r="L323" s="263"/>
      <c r="M323" s="258"/>
      <c r="N323" s="274"/>
      <c r="O323" s="274"/>
      <c r="P323" s="275"/>
      <c r="Q323" s="258"/>
      <c r="R323" s="274"/>
      <c r="S323" s="274"/>
      <c r="T323" s="278"/>
    </row>
    <row r="324" spans="3:20" ht="15.75">
      <c r="C324" s="327"/>
      <c r="D324" s="247"/>
      <c r="E324" s="232"/>
      <c r="F324" s="232"/>
      <c r="G324" s="419"/>
      <c r="H324" s="420"/>
      <c r="I324" s="421"/>
      <c r="J324" s="422"/>
      <c r="K324" s="423"/>
      <c r="L324" s="424"/>
      <c r="M324" s="420"/>
      <c r="N324" s="421"/>
      <c r="O324" s="421"/>
      <c r="P324" s="419"/>
      <c r="Q324" s="420"/>
      <c r="R324" s="421"/>
      <c r="S324" s="421"/>
      <c r="T324" s="425"/>
    </row>
    <row r="325" spans="3:20" ht="15.75">
      <c r="C325" s="426"/>
      <c r="D325" s="248"/>
      <c r="E325" s="230"/>
      <c r="F325" s="230"/>
      <c r="G325" s="427"/>
      <c r="H325" s="428"/>
      <c r="I325" s="429"/>
      <c r="J325" s="430"/>
      <c r="K325" s="431"/>
      <c r="L325" s="432"/>
      <c r="M325" s="428"/>
      <c r="N325" s="429"/>
      <c r="O325" s="429"/>
      <c r="P325" s="427"/>
      <c r="Q325" s="428"/>
      <c r="R325" s="429"/>
      <c r="S325" s="429"/>
      <c r="T325" s="433"/>
    </row>
    <row r="326" spans="3:20" ht="15.75">
      <c r="C326" s="263"/>
      <c r="D326" s="258"/>
      <c r="E326" s="165"/>
      <c r="F326" s="165"/>
      <c r="G326" s="275"/>
      <c r="H326" s="258"/>
      <c r="I326" s="274"/>
      <c r="J326" s="276"/>
      <c r="K326" s="281"/>
      <c r="L326" s="263"/>
      <c r="M326" s="258"/>
      <c r="N326" s="274"/>
      <c r="O326" s="274"/>
      <c r="P326" s="275"/>
      <c r="Q326" s="258"/>
      <c r="R326" s="274"/>
      <c r="S326" s="274"/>
      <c r="T326" s="278"/>
    </row>
    <row r="327" spans="3:20" ht="15.75">
      <c r="C327" s="263"/>
      <c r="D327" s="89"/>
      <c r="E327" s="165"/>
      <c r="F327" s="165"/>
      <c r="G327" s="275"/>
      <c r="H327" s="258"/>
      <c r="I327" s="274"/>
      <c r="J327" s="276"/>
      <c r="K327" s="283"/>
      <c r="L327" s="263"/>
      <c r="M327" s="258"/>
      <c r="N327" s="274"/>
      <c r="O327" s="274"/>
      <c r="P327" s="275"/>
      <c r="Q327" s="258"/>
      <c r="R327" s="274"/>
      <c r="S327" s="274"/>
      <c r="T327" s="278"/>
    </row>
    <row r="328" spans="3:20" ht="15.75">
      <c r="C328" s="451"/>
      <c r="D328" s="452"/>
      <c r="E328" s="230"/>
      <c r="F328" s="230"/>
      <c r="G328" s="427"/>
      <c r="H328" s="428"/>
      <c r="I328" s="429"/>
      <c r="J328" s="430"/>
      <c r="K328" s="453"/>
      <c r="L328" s="263"/>
      <c r="M328" s="258"/>
      <c r="N328" s="274"/>
      <c r="O328" s="274"/>
      <c r="P328" s="275"/>
      <c r="Q328" s="258"/>
      <c r="R328" s="274"/>
      <c r="S328" s="274"/>
      <c r="T328" s="278"/>
    </row>
    <row r="329" spans="3:20" ht="15.75">
      <c r="C329" s="396" t="s">
        <v>516</v>
      </c>
      <c r="D329" s="89" t="s">
        <v>489</v>
      </c>
      <c r="E329" s="165" t="s">
        <v>491</v>
      </c>
      <c r="F329" s="165" t="s">
        <v>189</v>
      </c>
      <c r="G329" s="275" t="s">
        <v>520</v>
      </c>
      <c r="H329" s="68" t="s">
        <v>492</v>
      </c>
      <c r="I329" s="274" t="s">
        <v>518</v>
      </c>
      <c r="J329" s="454" t="s">
        <v>519</v>
      </c>
      <c r="K329" s="283"/>
      <c r="L329" s="263"/>
      <c r="M329" s="258"/>
      <c r="N329" s="274"/>
      <c r="O329" s="274"/>
      <c r="P329" s="275"/>
      <c r="Q329" s="258"/>
      <c r="R329" s="274"/>
      <c r="S329" s="274"/>
      <c r="T329" s="278"/>
    </row>
    <row r="330" spans="3:20" ht="15.75">
      <c r="C330" s="458" t="s">
        <v>517</v>
      </c>
      <c r="D330" s="459">
        <f>K306</f>
        <v>449.837</v>
      </c>
      <c r="E330" s="230">
        <f>K247+K257</f>
        <v>0</v>
      </c>
      <c r="F330" s="230"/>
      <c r="G330" s="427">
        <f>J265+J280+J286</f>
        <v>28.4</v>
      </c>
      <c r="H330" s="430">
        <f>J291+J285+J268</f>
        <v>99.9</v>
      </c>
      <c r="I330" s="429">
        <f>K274</f>
        <v>0</v>
      </c>
      <c r="J330" s="430">
        <f>K316</f>
        <v>159</v>
      </c>
      <c r="K330" s="453"/>
      <c r="L330" s="263"/>
      <c r="M330" s="258"/>
      <c r="N330" s="274"/>
      <c r="O330" s="274"/>
      <c r="P330" s="275"/>
      <c r="Q330" s="258"/>
      <c r="R330" s="274"/>
      <c r="S330" s="274"/>
      <c r="T330" s="278"/>
    </row>
    <row r="331" spans="3:20" ht="15.75">
      <c r="C331" s="396"/>
      <c r="D331" s="455"/>
      <c r="E331" s="165"/>
      <c r="F331" s="165"/>
      <c r="G331" s="275"/>
      <c r="H331" s="276"/>
      <c r="I331" s="274"/>
      <c r="J331" s="276"/>
      <c r="K331" s="283"/>
      <c r="L331" s="263"/>
      <c r="M331" s="258"/>
      <c r="N331" s="274"/>
      <c r="O331" s="274"/>
      <c r="P331" s="275"/>
      <c r="Q331" s="258"/>
      <c r="R331" s="274"/>
      <c r="S331" s="274"/>
      <c r="T331" s="278"/>
    </row>
    <row r="332" spans="3:20" ht="15.75">
      <c r="C332" s="396"/>
      <c r="D332" s="455"/>
      <c r="E332" s="165"/>
      <c r="F332" s="165"/>
      <c r="G332" s="275"/>
      <c r="H332" s="276"/>
      <c r="I332" s="274"/>
      <c r="J332" s="276"/>
      <c r="K332" s="283"/>
      <c r="L332" s="263"/>
      <c r="M332" s="258"/>
      <c r="N332" s="274"/>
      <c r="O332" s="274"/>
      <c r="P332" s="275"/>
      <c r="Q332" s="258"/>
      <c r="R332" s="274"/>
      <c r="S332" s="274"/>
      <c r="T332" s="278"/>
    </row>
    <row r="333" spans="3:20" ht="15.75">
      <c r="C333" s="396" t="s">
        <v>306</v>
      </c>
      <c r="D333" s="455">
        <f>SUM(D330:D332)</f>
        <v>449.837</v>
      </c>
      <c r="E333" s="455">
        <f aca="true" t="shared" si="20" ref="E333:J333">SUM(E330:E332)</f>
        <v>0</v>
      </c>
      <c r="F333" s="455">
        <f t="shared" si="20"/>
        <v>0</v>
      </c>
      <c r="G333" s="455">
        <f t="shared" si="20"/>
        <v>28.4</v>
      </c>
      <c r="H333" s="455">
        <f t="shared" si="20"/>
        <v>99.9</v>
      </c>
      <c r="I333" s="455">
        <f t="shared" si="20"/>
        <v>0</v>
      </c>
      <c r="J333" s="455">
        <f t="shared" si="20"/>
        <v>159</v>
      </c>
      <c r="K333" s="283"/>
      <c r="L333" s="263"/>
      <c r="M333" s="258"/>
      <c r="N333" s="274"/>
      <c r="O333" s="274"/>
      <c r="P333" s="275"/>
      <c r="Q333" s="258"/>
      <c r="R333" s="274"/>
      <c r="S333" s="274"/>
      <c r="T333" s="278"/>
    </row>
    <row r="334" spans="3:20" ht="15.75">
      <c r="C334" s="456"/>
      <c r="D334" s="341"/>
      <c r="E334" s="232"/>
      <c r="F334" s="232"/>
      <c r="G334" s="419"/>
      <c r="H334" s="420"/>
      <c r="I334" s="421"/>
      <c r="J334" s="422"/>
      <c r="K334" s="457"/>
      <c r="L334" s="263"/>
      <c r="M334" s="258"/>
      <c r="N334" s="274"/>
      <c r="O334" s="274"/>
      <c r="P334" s="275"/>
      <c r="Q334" s="258"/>
      <c r="R334" s="274"/>
      <c r="S334" s="274"/>
      <c r="T334" s="278"/>
    </row>
    <row r="335" spans="3:20" ht="15.75">
      <c r="C335" s="450"/>
      <c r="D335" s="89"/>
      <c r="E335" s="165"/>
      <c r="F335" s="165"/>
      <c r="G335" s="275"/>
      <c r="H335" s="258"/>
      <c r="I335" s="274"/>
      <c r="J335" s="276"/>
      <c r="K335" s="283"/>
      <c r="L335" s="263"/>
      <c r="M335" s="258"/>
      <c r="N335" s="274"/>
      <c r="O335" s="274"/>
      <c r="P335" s="275"/>
      <c r="Q335" s="258"/>
      <c r="R335" s="274"/>
      <c r="S335" s="274"/>
      <c r="T335" s="278"/>
    </row>
    <row r="336" spans="3:20" ht="15.75">
      <c r="C336" s="396"/>
      <c r="D336" s="258"/>
      <c r="E336" s="165"/>
      <c r="F336" s="165"/>
      <c r="G336" s="275"/>
      <c r="H336" s="258"/>
      <c r="I336" s="274"/>
      <c r="J336" s="276"/>
      <c r="K336" s="277"/>
      <c r="L336" s="325"/>
      <c r="M336" s="258"/>
      <c r="N336" s="165"/>
      <c r="O336" s="165"/>
      <c r="P336" s="275"/>
      <c r="Q336" s="258"/>
      <c r="R336" s="274"/>
      <c r="S336" s="274"/>
      <c r="T336" s="278"/>
    </row>
    <row r="337" spans="3:20" ht="15.75">
      <c r="C337" s="397" t="s">
        <v>468</v>
      </c>
      <c r="D337" s="258"/>
      <c r="E337" s="165"/>
      <c r="F337" s="165"/>
      <c r="G337" s="275"/>
      <c r="H337" s="258"/>
      <c r="I337" s="274"/>
      <c r="J337" s="276"/>
      <c r="K337" s="277"/>
      <c r="L337" s="325"/>
      <c r="M337" s="258"/>
      <c r="N337" s="165"/>
      <c r="O337" s="165"/>
      <c r="P337" s="275"/>
      <c r="Q337" s="258"/>
      <c r="R337" s="274"/>
      <c r="S337" s="274"/>
      <c r="T337" s="278"/>
    </row>
    <row r="338" spans="3:20" ht="15.75">
      <c r="C338" s="396" t="s">
        <v>467</v>
      </c>
      <c r="D338" s="258">
        <v>0.1</v>
      </c>
      <c r="E338" s="165">
        <f>D330+E330+G330</f>
        <v>478.23699999999997</v>
      </c>
      <c r="F338" s="165">
        <f>E338*D338</f>
        <v>47.8237</v>
      </c>
      <c r="G338" s="275"/>
      <c r="H338" s="258"/>
      <c r="I338" s="274"/>
      <c r="J338" s="276"/>
      <c r="K338" s="277"/>
      <c r="L338" s="325"/>
      <c r="M338" s="258"/>
      <c r="N338" s="165"/>
      <c r="O338" s="165"/>
      <c r="P338" s="275"/>
      <c r="Q338" s="258"/>
      <c r="R338" s="274"/>
      <c r="S338" s="274"/>
      <c r="T338" s="278"/>
    </row>
    <row r="339" spans="3:20" ht="15.75">
      <c r="C339" s="396"/>
      <c r="D339" s="258"/>
      <c r="E339" s="165"/>
      <c r="F339" s="165"/>
      <c r="G339" s="275"/>
      <c r="H339" s="258"/>
      <c r="I339" s="274"/>
      <c r="J339" s="276"/>
      <c r="K339" s="277"/>
      <c r="L339" s="325"/>
      <c r="M339" s="258"/>
      <c r="N339" s="165"/>
      <c r="O339" s="165"/>
      <c r="P339" s="275"/>
      <c r="Q339" s="258"/>
      <c r="R339" s="274"/>
      <c r="S339" s="274"/>
      <c r="T339" s="278"/>
    </row>
    <row r="340" spans="3:20" ht="15.75">
      <c r="C340" s="396"/>
      <c r="D340" s="258"/>
      <c r="E340" s="165"/>
      <c r="F340" s="165"/>
      <c r="G340" s="275"/>
      <c r="H340" s="258"/>
      <c r="I340" s="274"/>
      <c r="J340" s="276"/>
      <c r="K340" s="277"/>
      <c r="L340" s="325"/>
      <c r="M340" s="258"/>
      <c r="N340" s="165"/>
      <c r="O340" s="165"/>
      <c r="P340" s="275"/>
      <c r="Q340" s="258"/>
      <c r="R340" s="274"/>
      <c r="S340" s="274"/>
      <c r="T340" s="278"/>
    </row>
    <row r="341" spans="3:20" ht="15.75">
      <c r="C341" s="396"/>
      <c r="D341" s="258"/>
      <c r="E341" s="165"/>
      <c r="F341" s="165"/>
      <c r="G341" s="275"/>
      <c r="H341" s="258"/>
      <c r="I341" s="274"/>
      <c r="J341" s="276"/>
      <c r="K341" s="277"/>
      <c r="L341" s="325"/>
      <c r="M341" s="258"/>
      <c r="N341" s="165"/>
      <c r="O341" s="165"/>
      <c r="P341" s="275"/>
      <c r="Q341" s="258"/>
      <c r="R341" s="274"/>
      <c r="S341" s="274"/>
      <c r="T341" s="278"/>
    </row>
    <row r="342" spans="3:20" ht="15.75">
      <c r="C342" s="396"/>
      <c r="D342" s="258"/>
      <c r="E342" s="165"/>
      <c r="F342" s="165"/>
      <c r="G342" s="275"/>
      <c r="H342" s="258"/>
      <c r="I342" s="274"/>
      <c r="J342" s="276"/>
      <c r="K342" s="277"/>
      <c r="L342" s="325"/>
      <c r="M342" s="258"/>
      <c r="N342" s="165"/>
      <c r="O342" s="165"/>
      <c r="P342" s="275"/>
      <c r="Q342" s="258"/>
      <c r="R342" s="274"/>
      <c r="S342" s="274"/>
      <c r="T342" s="278"/>
    </row>
    <row r="343" spans="3:20" ht="16.5" thickBot="1">
      <c r="C343" s="293"/>
      <c r="D343" s="286"/>
      <c r="E343" s="170"/>
      <c r="F343" s="170"/>
      <c r="G343" s="289"/>
      <c r="H343" s="286"/>
      <c r="I343" s="287"/>
      <c r="J343" s="170"/>
      <c r="K343" s="243"/>
      <c r="L343" s="285"/>
      <c r="M343" s="286"/>
      <c r="N343" s="288"/>
      <c r="O343" s="288"/>
      <c r="P343" s="289"/>
      <c r="Q343" s="286"/>
      <c r="R343" s="287"/>
      <c r="S343" s="294"/>
      <c r="T343" s="295"/>
    </row>
    <row r="344" ht="16.5" thickTop="1"/>
    <row r="345" ht="16.5" thickBot="1"/>
    <row r="346" spans="3:20" ht="16.5" thickTop="1">
      <c r="C346" s="175"/>
      <c r="D346" s="252" t="s">
        <v>323</v>
      </c>
      <c r="E346" s="1061" t="s">
        <v>380</v>
      </c>
      <c r="F346" s="1058"/>
      <c r="G346" s="176"/>
      <c r="H346" s="82"/>
      <c r="I346" s="255"/>
      <c r="J346" s="255"/>
      <c r="K346" s="177"/>
      <c r="L346" s="175"/>
      <c r="M346" s="161" t="s">
        <v>323</v>
      </c>
      <c r="N346" s="1061" t="s">
        <v>380</v>
      </c>
      <c r="O346" s="1058"/>
      <c r="P346" s="176"/>
      <c r="Q346" s="82"/>
      <c r="R346" s="255"/>
      <c r="S346" s="255"/>
      <c r="T346" s="177"/>
    </row>
    <row r="347" spans="3:20" ht="15.75">
      <c r="C347" s="203" t="s">
        <v>366</v>
      </c>
      <c r="D347" s="211" t="s">
        <v>367</v>
      </c>
      <c r="E347" s="1062" t="s">
        <v>381</v>
      </c>
      <c r="F347" s="1060"/>
      <c r="G347" s="204" t="s">
        <v>368</v>
      </c>
      <c r="H347" s="205" t="s">
        <v>225</v>
      </c>
      <c r="I347" s="205" t="s">
        <v>225</v>
      </c>
      <c r="J347" s="205"/>
      <c r="K347" s="256" t="s">
        <v>225</v>
      </c>
      <c r="L347" s="203" t="s">
        <v>366</v>
      </c>
      <c r="M347" s="211" t="s">
        <v>367</v>
      </c>
      <c r="N347" s="1062" t="s">
        <v>381</v>
      </c>
      <c r="O347" s="1060"/>
      <c r="P347" s="204"/>
      <c r="Q347" s="205" t="s">
        <v>225</v>
      </c>
      <c r="R347" s="205" t="s">
        <v>225</v>
      </c>
      <c r="S347" s="205"/>
      <c r="T347" s="256" t="s">
        <v>225</v>
      </c>
    </row>
    <row r="348" spans="3:20" ht="15.75">
      <c r="C348" s="203"/>
      <c r="D348" s="211" t="s">
        <v>369</v>
      </c>
      <c r="E348" s="68" t="s">
        <v>382</v>
      </c>
      <c r="F348" s="259" t="s">
        <v>383</v>
      </c>
      <c r="G348" s="204"/>
      <c r="H348" s="211"/>
      <c r="I348" s="205" t="s">
        <v>368</v>
      </c>
      <c r="J348" s="205"/>
      <c r="K348" s="256" t="s">
        <v>328</v>
      </c>
      <c r="L348" s="203"/>
      <c r="M348" s="211" t="s">
        <v>369</v>
      </c>
      <c r="N348" s="68" t="s">
        <v>382</v>
      </c>
      <c r="O348" s="259" t="s">
        <v>383</v>
      </c>
      <c r="P348" s="204"/>
      <c r="Q348" s="211"/>
      <c r="R348" s="205" t="s">
        <v>382</v>
      </c>
      <c r="S348" s="205"/>
      <c r="T348" s="256" t="s">
        <v>328</v>
      </c>
    </row>
    <row r="349" spans="3:20" ht="16.5" thickBot="1">
      <c r="C349" s="127"/>
      <c r="D349" s="68"/>
      <c r="E349" s="211" t="s">
        <v>335</v>
      </c>
      <c r="F349" s="211" t="s">
        <v>335</v>
      </c>
      <c r="G349" s="204" t="s">
        <v>371</v>
      </c>
      <c r="H349" s="219"/>
      <c r="I349" s="205" t="s">
        <v>371</v>
      </c>
      <c r="J349" s="205"/>
      <c r="K349" s="220"/>
      <c r="L349" s="127"/>
      <c r="M349" s="68"/>
      <c r="N349" s="211" t="s">
        <v>335</v>
      </c>
      <c r="O349" s="211" t="s">
        <v>335</v>
      </c>
      <c r="P349" s="204"/>
      <c r="Q349" s="219"/>
      <c r="R349" s="205" t="s">
        <v>153</v>
      </c>
      <c r="S349" s="205"/>
      <c r="T349" s="220"/>
    </row>
    <row r="350" spans="3:20" ht="16.5" thickBot="1">
      <c r="C350" s="178" t="s">
        <v>261</v>
      </c>
      <c r="D350" s="179" t="s">
        <v>262</v>
      </c>
      <c r="E350" s="180" t="s">
        <v>263</v>
      </c>
      <c r="F350" s="179" t="s">
        <v>264</v>
      </c>
      <c r="G350" s="180" t="s">
        <v>384</v>
      </c>
      <c r="H350" s="179" t="s">
        <v>266</v>
      </c>
      <c r="I350" s="179" t="s">
        <v>373</v>
      </c>
      <c r="J350" s="179" t="s">
        <v>364</v>
      </c>
      <c r="K350" s="225" t="s">
        <v>344</v>
      </c>
      <c r="L350" s="178" t="s">
        <v>261</v>
      </c>
      <c r="M350" s="179" t="s">
        <v>262</v>
      </c>
      <c r="N350" s="180" t="s">
        <v>263</v>
      </c>
      <c r="O350" s="179" t="s">
        <v>264</v>
      </c>
      <c r="P350" s="180" t="s">
        <v>387</v>
      </c>
      <c r="Q350" s="179" t="s">
        <v>266</v>
      </c>
      <c r="R350" s="179" t="s">
        <v>373</v>
      </c>
      <c r="S350" s="179" t="s">
        <v>364</v>
      </c>
      <c r="T350" s="225" t="s">
        <v>344</v>
      </c>
    </row>
    <row r="351" spans="3:20" ht="15.75">
      <c r="C351" s="67"/>
      <c r="D351" s="68"/>
      <c r="E351" s="52"/>
      <c r="F351" s="68"/>
      <c r="G351" s="52"/>
      <c r="H351" s="68"/>
      <c r="I351" s="68"/>
      <c r="J351" s="68"/>
      <c r="K351" s="164"/>
      <c r="L351" s="67"/>
      <c r="M351" s="261"/>
      <c r="N351" s="261"/>
      <c r="O351" s="68"/>
      <c r="P351" s="52"/>
      <c r="Q351" s="68"/>
      <c r="R351" s="68"/>
      <c r="S351" s="68"/>
      <c r="T351" s="85"/>
    </row>
    <row r="352" spans="2:20" ht="15.75">
      <c r="B352" s="435">
        <v>39281</v>
      </c>
      <c r="C352" s="138" t="s">
        <v>386</v>
      </c>
      <c r="D352" s="68"/>
      <c r="E352" s="52"/>
      <c r="F352" s="68"/>
      <c r="G352" s="52"/>
      <c r="H352" s="68"/>
      <c r="I352" s="68"/>
      <c r="J352" s="68"/>
      <c r="K352" s="164"/>
      <c r="L352" s="138" t="s">
        <v>446</v>
      </c>
      <c r="M352" s="68"/>
      <c r="N352" s="68"/>
      <c r="O352" s="211"/>
      <c r="P352" s="70"/>
      <c r="Q352" s="68"/>
      <c r="R352" s="68"/>
      <c r="S352" s="68"/>
      <c r="T352" s="85"/>
    </row>
    <row r="353" spans="3:20" ht="15.75">
      <c r="C353" s="138" t="s">
        <v>444</v>
      </c>
      <c r="D353" s="68"/>
      <c r="E353" s="52"/>
      <c r="F353" s="68"/>
      <c r="G353" s="52"/>
      <c r="H353" s="68"/>
      <c r="I353" s="68"/>
      <c r="J353" s="68"/>
      <c r="K353" s="164"/>
      <c r="L353" s="138" t="s">
        <v>445</v>
      </c>
      <c r="M353" s="258"/>
      <c r="N353" s="274"/>
      <c r="O353" s="274"/>
      <c r="P353" s="275"/>
      <c r="Q353" s="258"/>
      <c r="R353" s="274"/>
      <c r="S353" s="274"/>
      <c r="T353" s="99"/>
    </row>
    <row r="354" spans="3:20" ht="15.75">
      <c r="C354" s="325" t="s">
        <v>490</v>
      </c>
      <c r="D354" s="484" t="s">
        <v>578</v>
      </c>
      <c r="E354" s="165">
        <v>6</v>
      </c>
      <c r="F354" s="165">
        <v>3.15</v>
      </c>
      <c r="G354" s="275">
        <f aca="true" t="shared" si="21" ref="G354:G406">E354*F354</f>
        <v>18.9</v>
      </c>
      <c r="H354" s="258">
        <v>1</v>
      </c>
      <c r="I354" s="274">
        <f aca="true" t="shared" si="22" ref="I354:I406">H354*G354</f>
        <v>18.9</v>
      </c>
      <c r="J354" s="276"/>
      <c r="K354" s="282"/>
      <c r="L354" s="325" t="s">
        <v>490</v>
      </c>
      <c r="M354" s="68" t="s">
        <v>576</v>
      </c>
      <c r="N354" s="165">
        <v>6</v>
      </c>
      <c r="O354" s="165">
        <v>3.15</v>
      </c>
      <c r="P354" s="275">
        <f>(N354+O354)*2</f>
        <v>18.3</v>
      </c>
      <c r="Q354" s="258">
        <v>1</v>
      </c>
      <c r="R354" s="274">
        <f>Q354*P354</f>
        <v>18.3</v>
      </c>
      <c r="S354" s="276"/>
      <c r="T354" s="278"/>
    </row>
    <row r="355" spans="3:20" ht="15.75">
      <c r="C355" s="325"/>
      <c r="D355" s="68"/>
      <c r="E355" s="165">
        <v>3</v>
      </c>
      <c r="F355" s="165">
        <v>0.3</v>
      </c>
      <c r="G355" s="275">
        <f t="shared" si="21"/>
        <v>0.8999999999999999</v>
      </c>
      <c r="H355" s="258">
        <v>1</v>
      </c>
      <c r="I355" s="274">
        <f t="shared" si="22"/>
        <v>0.8999999999999999</v>
      </c>
      <c r="J355" s="276"/>
      <c r="K355" s="282"/>
      <c r="L355" s="325"/>
      <c r="M355" s="68"/>
      <c r="N355" s="165"/>
      <c r="O355" s="165"/>
      <c r="P355" s="275">
        <f aca="true" t="shared" si="23" ref="P355:P373">(N355+O355)*2</f>
        <v>0</v>
      </c>
      <c r="Q355" s="258">
        <v>1</v>
      </c>
      <c r="R355" s="274">
        <f aca="true" t="shared" si="24" ref="R355:R374">Q355*P355</f>
        <v>0</v>
      </c>
      <c r="S355" s="276"/>
      <c r="T355" s="278"/>
    </row>
    <row r="356" spans="3:20" ht="15.75">
      <c r="C356" s="325"/>
      <c r="D356" s="68"/>
      <c r="E356" s="165">
        <v>6</v>
      </c>
      <c r="F356" s="165">
        <v>0.36</v>
      </c>
      <c r="G356" s="275">
        <f t="shared" si="21"/>
        <v>2.16</v>
      </c>
      <c r="H356" s="258">
        <v>1</v>
      </c>
      <c r="I356" s="274">
        <f t="shared" si="22"/>
        <v>2.16</v>
      </c>
      <c r="J356" s="276"/>
      <c r="K356" s="282"/>
      <c r="L356" s="325"/>
      <c r="M356" s="68"/>
      <c r="N356" s="165"/>
      <c r="O356" s="165"/>
      <c r="P356" s="275">
        <f t="shared" si="23"/>
        <v>0</v>
      </c>
      <c r="Q356" s="258">
        <v>1</v>
      </c>
      <c r="R356" s="274">
        <f t="shared" si="24"/>
        <v>0</v>
      </c>
      <c r="S356" s="276"/>
      <c r="T356" s="278"/>
    </row>
    <row r="357" spans="3:20" ht="15.75">
      <c r="C357" s="325"/>
      <c r="D357" s="68"/>
      <c r="E357" s="165">
        <v>1.2</v>
      </c>
      <c r="F357" s="165">
        <v>1.2</v>
      </c>
      <c r="G357" s="275">
        <f t="shared" si="21"/>
        <v>1.44</v>
      </c>
      <c r="H357" s="258">
        <v>2</v>
      </c>
      <c r="I357" s="274">
        <f t="shared" si="22"/>
        <v>2.88</v>
      </c>
      <c r="J357" s="416">
        <f>SUM(I354:I357)</f>
        <v>24.839999999999996</v>
      </c>
      <c r="K357" s="434">
        <f>SUM(J354:J357)</f>
        <v>24.839999999999996</v>
      </c>
      <c r="L357" s="325"/>
      <c r="M357" s="68"/>
      <c r="N357" s="165"/>
      <c r="O357" s="165"/>
      <c r="P357" s="275">
        <f t="shared" si="23"/>
        <v>0</v>
      </c>
      <c r="Q357" s="258">
        <v>1</v>
      </c>
      <c r="R357" s="274">
        <f t="shared" si="24"/>
        <v>0</v>
      </c>
      <c r="S357" s="276">
        <f>SUM(R354:R357)</f>
        <v>18.3</v>
      </c>
      <c r="T357" s="278"/>
    </row>
    <row r="358" spans="3:20" ht="15.75">
      <c r="C358" s="325" t="s">
        <v>552</v>
      </c>
      <c r="D358" s="68" t="s">
        <v>509</v>
      </c>
      <c r="E358" s="165">
        <v>3.6</v>
      </c>
      <c r="F358" s="165">
        <v>3.5</v>
      </c>
      <c r="G358" s="275">
        <f t="shared" si="21"/>
        <v>12.6</v>
      </c>
      <c r="H358" s="258">
        <v>1</v>
      </c>
      <c r="I358" s="274">
        <f t="shared" si="22"/>
        <v>12.6</v>
      </c>
      <c r="J358" s="276"/>
      <c r="K358" s="449"/>
      <c r="L358" s="325" t="s">
        <v>552</v>
      </c>
      <c r="M358" s="68" t="str">
        <f>M354</f>
        <v>10 cm</v>
      </c>
      <c r="N358" s="165">
        <v>3.6</v>
      </c>
      <c r="O358" s="165">
        <v>3.5</v>
      </c>
      <c r="P358" s="275">
        <f t="shared" si="23"/>
        <v>14.2</v>
      </c>
      <c r="Q358" s="258">
        <v>1</v>
      </c>
      <c r="R358" s="274">
        <f t="shared" si="24"/>
        <v>14.2</v>
      </c>
      <c r="S358" s="276"/>
      <c r="T358" s="278"/>
    </row>
    <row r="359" spans="3:20" ht="15.75">
      <c r="C359" s="325"/>
      <c r="D359" s="68"/>
      <c r="E359" s="165">
        <v>6</v>
      </c>
      <c r="F359" s="165">
        <v>1.8</v>
      </c>
      <c r="G359" s="275">
        <f t="shared" si="21"/>
        <v>10.8</v>
      </c>
      <c r="H359" s="258">
        <v>1</v>
      </c>
      <c r="I359" s="274">
        <f t="shared" si="22"/>
        <v>10.8</v>
      </c>
      <c r="J359" s="276"/>
      <c r="K359" s="280"/>
      <c r="L359" s="325"/>
      <c r="M359" s="68"/>
      <c r="N359" s="165"/>
      <c r="O359" s="165"/>
      <c r="P359" s="275">
        <f t="shared" si="23"/>
        <v>0</v>
      </c>
      <c r="Q359" s="258">
        <v>1</v>
      </c>
      <c r="R359" s="274">
        <f t="shared" si="24"/>
        <v>0</v>
      </c>
      <c r="S359" s="276"/>
      <c r="T359" s="278"/>
    </row>
    <row r="360" spans="3:20" ht="15.75">
      <c r="C360" s="325"/>
      <c r="D360" s="68"/>
      <c r="E360" s="165">
        <v>9.3</v>
      </c>
      <c r="F360" s="165">
        <v>6</v>
      </c>
      <c r="G360" s="275">
        <f t="shared" si="21"/>
        <v>55.800000000000004</v>
      </c>
      <c r="H360" s="258">
        <v>1</v>
      </c>
      <c r="I360" s="274">
        <f t="shared" si="22"/>
        <v>55.800000000000004</v>
      </c>
      <c r="J360" s="276"/>
      <c r="K360" s="281"/>
      <c r="L360" s="325"/>
      <c r="M360" s="68"/>
      <c r="N360" s="165"/>
      <c r="O360" s="165">
        <v>6</v>
      </c>
      <c r="P360" s="275">
        <f t="shared" si="23"/>
        <v>12</v>
      </c>
      <c r="Q360" s="258">
        <v>1</v>
      </c>
      <c r="R360" s="274">
        <f t="shared" si="24"/>
        <v>12</v>
      </c>
      <c r="S360" s="276"/>
      <c r="T360" s="278"/>
    </row>
    <row r="361" spans="3:20" ht="15.75">
      <c r="C361" s="325"/>
      <c r="D361" s="68"/>
      <c r="E361" s="165">
        <f>(6+4.5)/2</f>
        <v>5.25</v>
      </c>
      <c r="F361" s="165">
        <v>1.2</v>
      </c>
      <c r="G361" s="275">
        <f t="shared" si="21"/>
        <v>6.3</v>
      </c>
      <c r="H361" s="258">
        <v>1</v>
      </c>
      <c r="I361" s="274">
        <f t="shared" si="22"/>
        <v>6.3</v>
      </c>
      <c r="J361" s="276"/>
      <c r="K361" s="281"/>
      <c r="L361" s="325"/>
      <c r="M361" s="68"/>
      <c r="N361" s="165">
        <f>(6+4.5)/2</f>
        <v>5.25</v>
      </c>
      <c r="O361" s="165">
        <v>1.2</v>
      </c>
      <c r="P361" s="275">
        <f t="shared" si="23"/>
        <v>12.9</v>
      </c>
      <c r="Q361" s="258">
        <v>1</v>
      </c>
      <c r="R361" s="274">
        <f t="shared" si="24"/>
        <v>12.9</v>
      </c>
      <c r="S361" s="276"/>
      <c r="T361" s="278"/>
    </row>
    <row r="362" spans="3:20" ht="15.75">
      <c r="C362" s="325"/>
      <c r="D362" s="68"/>
      <c r="E362" s="165">
        <v>1.5</v>
      </c>
      <c r="F362" s="165">
        <f>1.5/2</f>
        <v>0.75</v>
      </c>
      <c r="G362" s="275">
        <f t="shared" si="21"/>
        <v>1.125</v>
      </c>
      <c r="H362" s="258">
        <v>1</v>
      </c>
      <c r="I362" s="274">
        <f t="shared" si="22"/>
        <v>1.125</v>
      </c>
      <c r="J362" s="276">
        <f>SUM(I358:I362)</f>
        <v>86.625</v>
      </c>
      <c r="K362" s="281"/>
      <c r="L362" s="325"/>
      <c r="M362" s="68"/>
      <c r="N362" s="165">
        <v>1.5</v>
      </c>
      <c r="O362" s="165">
        <f>1.5/2</f>
        <v>0.75</v>
      </c>
      <c r="P362" s="275">
        <f t="shared" si="23"/>
        <v>4.5</v>
      </c>
      <c r="Q362" s="258">
        <v>1</v>
      </c>
      <c r="R362" s="274">
        <f t="shared" si="24"/>
        <v>4.5</v>
      </c>
      <c r="S362" s="276">
        <f>SUM(R358:R362)</f>
        <v>43.6</v>
      </c>
      <c r="T362" s="278"/>
    </row>
    <row r="363" spans="3:20" ht="15.75">
      <c r="C363" s="325" t="s">
        <v>553</v>
      </c>
      <c r="D363" s="68" t="s">
        <v>509</v>
      </c>
      <c r="E363" s="165">
        <v>6</v>
      </c>
      <c r="F363" s="165">
        <v>1.5</v>
      </c>
      <c r="G363" s="275">
        <f t="shared" si="21"/>
        <v>9</v>
      </c>
      <c r="H363" s="258">
        <v>1</v>
      </c>
      <c r="I363" s="274">
        <f t="shared" si="22"/>
        <v>9</v>
      </c>
      <c r="J363" s="276">
        <f>I363</f>
        <v>9</v>
      </c>
      <c r="K363" s="281"/>
      <c r="L363" s="325" t="s">
        <v>553</v>
      </c>
      <c r="M363" s="68" t="str">
        <f>M354</f>
        <v>10 cm</v>
      </c>
      <c r="N363" s="165">
        <v>6</v>
      </c>
      <c r="O363" s="165">
        <v>1.5</v>
      </c>
      <c r="P363" s="275">
        <f t="shared" si="23"/>
        <v>15</v>
      </c>
      <c r="Q363" s="258">
        <v>1</v>
      </c>
      <c r="R363" s="274">
        <f t="shared" si="24"/>
        <v>15</v>
      </c>
      <c r="S363" s="276">
        <f>R363</f>
        <v>15</v>
      </c>
      <c r="T363" s="278"/>
    </row>
    <row r="364" spans="3:20" ht="15.75">
      <c r="C364" s="325" t="s">
        <v>554</v>
      </c>
      <c r="D364" s="68" t="s">
        <v>509</v>
      </c>
      <c r="E364" s="165">
        <v>4.5</v>
      </c>
      <c r="F364" s="165">
        <v>2.7</v>
      </c>
      <c r="G364" s="275">
        <f t="shared" si="21"/>
        <v>12.15</v>
      </c>
      <c r="H364" s="258">
        <v>1</v>
      </c>
      <c r="I364" s="274">
        <f t="shared" si="22"/>
        <v>12.15</v>
      </c>
      <c r="J364" s="276">
        <f>I364</f>
        <v>12.15</v>
      </c>
      <c r="K364" s="281"/>
      <c r="L364" s="325" t="s">
        <v>554</v>
      </c>
      <c r="M364" s="68" t="str">
        <f>M354</f>
        <v>10 cm</v>
      </c>
      <c r="N364" s="165">
        <v>4.5</v>
      </c>
      <c r="O364" s="165">
        <v>2.7</v>
      </c>
      <c r="P364" s="275">
        <f t="shared" si="23"/>
        <v>14.4</v>
      </c>
      <c r="Q364" s="258">
        <v>1</v>
      </c>
      <c r="R364" s="274">
        <f t="shared" si="24"/>
        <v>14.4</v>
      </c>
      <c r="S364" s="276">
        <f>R364</f>
        <v>14.4</v>
      </c>
      <c r="T364" s="278"/>
    </row>
    <row r="365" spans="3:20" ht="15.75">
      <c r="C365" s="325" t="s">
        <v>555</v>
      </c>
      <c r="D365" s="68" t="s">
        <v>509</v>
      </c>
      <c r="E365" s="165">
        <v>4.5</v>
      </c>
      <c r="F365" s="165">
        <v>3.45</v>
      </c>
      <c r="G365" s="275">
        <f t="shared" si="21"/>
        <v>15.525</v>
      </c>
      <c r="H365" s="258">
        <v>1</v>
      </c>
      <c r="I365" s="274">
        <f t="shared" si="22"/>
        <v>15.525</v>
      </c>
      <c r="J365" s="276"/>
      <c r="K365" s="281"/>
      <c r="L365" s="325" t="s">
        <v>555</v>
      </c>
      <c r="M365" s="68" t="str">
        <f>M354</f>
        <v>10 cm</v>
      </c>
      <c r="N365" s="165">
        <v>4.5</v>
      </c>
      <c r="O365" s="165">
        <v>3.45</v>
      </c>
      <c r="P365" s="275">
        <f t="shared" si="23"/>
        <v>15.9</v>
      </c>
      <c r="Q365" s="258">
        <v>1</v>
      </c>
      <c r="R365" s="274">
        <f t="shared" si="24"/>
        <v>15.9</v>
      </c>
      <c r="S365" s="276"/>
      <c r="T365" s="278"/>
    </row>
    <row r="366" spans="3:20" ht="15.75">
      <c r="C366" s="263"/>
      <c r="D366" s="68"/>
      <c r="E366" s="165">
        <v>1.8</v>
      </c>
      <c r="F366" s="165">
        <f>1.8/2</f>
        <v>0.9</v>
      </c>
      <c r="G366" s="275">
        <f t="shared" si="21"/>
        <v>1.62</v>
      </c>
      <c r="H366" s="258">
        <v>1</v>
      </c>
      <c r="I366" s="274">
        <f t="shared" si="22"/>
        <v>1.62</v>
      </c>
      <c r="J366" s="276">
        <f>SUM(I365:I366)</f>
        <v>17.145</v>
      </c>
      <c r="K366" s="460"/>
      <c r="L366" s="263"/>
      <c r="M366" s="68"/>
      <c r="N366" s="165">
        <v>1.8</v>
      </c>
      <c r="O366" s="165">
        <f>1.8/2</f>
        <v>0.9</v>
      </c>
      <c r="P366" s="275">
        <f t="shared" si="23"/>
        <v>5.4</v>
      </c>
      <c r="Q366" s="258">
        <v>1</v>
      </c>
      <c r="R366" s="274">
        <f t="shared" si="24"/>
        <v>5.4</v>
      </c>
      <c r="S366" s="276">
        <f>SUM(R365:R366)</f>
        <v>21.3</v>
      </c>
      <c r="T366" s="278"/>
    </row>
    <row r="367" spans="3:20" ht="15.75">
      <c r="C367" s="325" t="s">
        <v>556</v>
      </c>
      <c r="D367" s="68" t="s">
        <v>509</v>
      </c>
      <c r="E367" s="165">
        <v>3.45</v>
      </c>
      <c r="F367" s="165">
        <v>3</v>
      </c>
      <c r="G367" s="275">
        <f t="shared" si="21"/>
        <v>10.350000000000001</v>
      </c>
      <c r="H367" s="258">
        <v>1</v>
      </c>
      <c r="I367" s="274">
        <f t="shared" si="22"/>
        <v>10.350000000000001</v>
      </c>
      <c r="J367" s="447"/>
      <c r="K367" s="448"/>
      <c r="L367" s="325" t="s">
        <v>556</v>
      </c>
      <c r="M367" s="68" t="str">
        <f>M354</f>
        <v>10 cm</v>
      </c>
      <c r="N367" s="165">
        <v>3.45</v>
      </c>
      <c r="O367" s="165">
        <v>3</v>
      </c>
      <c r="P367" s="275">
        <f t="shared" si="23"/>
        <v>12.9</v>
      </c>
      <c r="Q367" s="258">
        <v>1</v>
      </c>
      <c r="R367" s="274">
        <f t="shared" si="24"/>
        <v>12.9</v>
      </c>
      <c r="S367" s="447"/>
      <c r="T367" s="278"/>
    </row>
    <row r="368" spans="3:20" ht="15.75">
      <c r="C368" s="325"/>
      <c r="D368" s="68"/>
      <c r="E368" s="165">
        <f>(2+3.45)/2</f>
        <v>2.725</v>
      </c>
      <c r="F368" s="165">
        <v>1.5</v>
      </c>
      <c r="G368" s="275">
        <f t="shared" si="21"/>
        <v>4.0875</v>
      </c>
      <c r="H368" s="258">
        <v>1</v>
      </c>
      <c r="I368" s="274">
        <f t="shared" si="22"/>
        <v>4.0875</v>
      </c>
      <c r="J368" s="276">
        <f>SUM(I367:I368)</f>
        <v>14.437500000000002</v>
      </c>
      <c r="K368" s="281"/>
      <c r="L368" s="325"/>
      <c r="M368" s="68"/>
      <c r="N368" s="165">
        <f>(2+3.45)/2</f>
        <v>2.725</v>
      </c>
      <c r="O368" s="165">
        <v>1.5</v>
      </c>
      <c r="P368" s="275">
        <f t="shared" si="23"/>
        <v>8.45</v>
      </c>
      <c r="Q368" s="258">
        <v>1</v>
      </c>
      <c r="R368" s="274">
        <f t="shared" si="24"/>
        <v>8.45</v>
      </c>
      <c r="S368" s="276">
        <f>SUM(R367:R368)</f>
        <v>21.35</v>
      </c>
      <c r="T368" s="278"/>
    </row>
    <row r="369" spans="3:20" ht="15.75">
      <c r="C369" s="325" t="s">
        <v>557</v>
      </c>
      <c r="D369" s="68" t="s">
        <v>509</v>
      </c>
      <c r="E369" s="165">
        <v>3</v>
      </c>
      <c r="F369" s="165">
        <v>2</v>
      </c>
      <c r="G369" s="275">
        <f t="shared" si="21"/>
        <v>6</v>
      </c>
      <c r="H369" s="258">
        <v>1</v>
      </c>
      <c r="I369" s="274">
        <f t="shared" si="22"/>
        <v>6</v>
      </c>
      <c r="J369" s="276">
        <f>I369</f>
        <v>6</v>
      </c>
      <c r="K369" s="281"/>
      <c r="L369" s="325" t="s">
        <v>557</v>
      </c>
      <c r="M369" s="68" t="str">
        <f>M354</f>
        <v>10 cm</v>
      </c>
      <c r="N369" s="165">
        <v>3</v>
      </c>
      <c r="O369" s="165">
        <v>2</v>
      </c>
      <c r="P369" s="275">
        <f t="shared" si="23"/>
        <v>10</v>
      </c>
      <c r="Q369" s="258">
        <v>1</v>
      </c>
      <c r="R369" s="274">
        <f t="shared" si="24"/>
        <v>10</v>
      </c>
      <c r="S369" s="276">
        <f>R369</f>
        <v>10</v>
      </c>
      <c r="T369" s="278"/>
    </row>
    <row r="370" spans="3:20" ht="15.75">
      <c r="C370" s="325" t="s">
        <v>558</v>
      </c>
      <c r="D370" s="68" t="s">
        <v>509</v>
      </c>
      <c r="E370" s="165">
        <v>4.5</v>
      </c>
      <c r="F370" s="165">
        <v>3.45</v>
      </c>
      <c r="G370" s="275">
        <f t="shared" si="21"/>
        <v>15.525</v>
      </c>
      <c r="H370" s="258">
        <v>1</v>
      </c>
      <c r="I370" s="274">
        <f t="shared" si="22"/>
        <v>15.525</v>
      </c>
      <c r="J370" s="276"/>
      <c r="K370" s="281"/>
      <c r="L370" s="325" t="s">
        <v>558</v>
      </c>
      <c r="M370" s="68" t="str">
        <f>M354</f>
        <v>10 cm</v>
      </c>
      <c r="N370" s="165">
        <v>4.5</v>
      </c>
      <c r="O370" s="165">
        <v>3.45</v>
      </c>
      <c r="P370" s="275">
        <f t="shared" si="23"/>
        <v>15.9</v>
      </c>
      <c r="Q370" s="258">
        <v>1</v>
      </c>
      <c r="R370" s="274">
        <f t="shared" si="24"/>
        <v>15.9</v>
      </c>
      <c r="S370" s="276"/>
      <c r="T370" s="278"/>
    </row>
    <row r="371" spans="3:20" ht="15.75">
      <c r="C371" s="325"/>
      <c r="D371" s="68"/>
      <c r="E371" s="165">
        <f>(2+3.45)/2</f>
        <v>2.725</v>
      </c>
      <c r="F371" s="165">
        <v>1.5</v>
      </c>
      <c r="G371" s="275">
        <f t="shared" si="21"/>
        <v>4.0875</v>
      </c>
      <c r="H371" s="258">
        <v>1</v>
      </c>
      <c r="I371" s="274">
        <f t="shared" si="22"/>
        <v>4.0875</v>
      </c>
      <c r="J371" s="276">
        <f>SUM(I370:I371)</f>
        <v>19.6125</v>
      </c>
      <c r="K371" s="281"/>
      <c r="L371" s="325"/>
      <c r="M371" s="68"/>
      <c r="N371" s="165">
        <f>(2+3.45)/2</f>
        <v>2.725</v>
      </c>
      <c r="O371" s="165">
        <v>1.5</v>
      </c>
      <c r="P371" s="275">
        <f t="shared" si="23"/>
        <v>8.45</v>
      </c>
      <c r="Q371" s="258">
        <v>1</v>
      </c>
      <c r="R371" s="274">
        <f t="shared" si="24"/>
        <v>8.45</v>
      </c>
      <c r="S371" s="276">
        <f>SUM(R370:R371)</f>
        <v>24.35</v>
      </c>
      <c r="T371" s="278"/>
    </row>
    <row r="372" spans="3:20" ht="15.75">
      <c r="C372" s="325" t="s">
        <v>559</v>
      </c>
      <c r="D372" s="68" t="s">
        <v>509</v>
      </c>
      <c r="E372" s="165">
        <v>4.5</v>
      </c>
      <c r="F372" s="165">
        <v>3</v>
      </c>
      <c r="G372" s="275">
        <f t="shared" si="21"/>
        <v>13.5</v>
      </c>
      <c r="H372" s="258">
        <v>1</v>
      </c>
      <c r="I372" s="274">
        <f t="shared" si="22"/>
        <v>13.5</v>
      </c>
      <c r="J372" s="276">
        <f>I372</f>
        <v>13.5</v>
      </c>
      <c r="K372" s="281"/>
      <c r="L372" s="325" t="s">
        <v>559</v>
      </c>
      <c r="M372" s="68" t="str">
        <f>M354</f>
        <v>10 cm</v>
      </c>
      <c r="N372" s="165">
        <v>4.5</v>
      </c>
      <c r="O372" s="165">
        <v>3</v>
      </c>
      <c r="P372" s="275">
        <f t="shared" si="23"/>
        <v>15</v>
      </c>
      <c r="Q372" s="258">
        <v>1</v>
      </c>
      <c r="R372" s="274">
        <f t="shared" si="24"/>
        <v>15</v>
      </c>
      <c r="S372" s="276">
        <f>R372</f>
        <v>15</v>
      </c>
      <c r="T372" s="278"/>
    </row>
    <row r="373" spans="3:20" ht="15.75">
      <c r="C373" s="325" t="s">
        <v>560</v>
      </c>
      <c r="D373" s="68" t="s">
        <v>509</v>
      </c>
      <c r="E373" s="165">
        <v>4.5</v>
      </c>
      <c r="F373" s="165">
        <v>4.2</v>
      </c>
      <c r="G373" s="275">
        <f t="shared" si="21"/>
        <v>18.900000000000002</v>
      </c>
      <c r="H373" s="258">
        <v>1</v>
      </c>
      <c r="I373" s="274">
        <f t="shared" si="22"/>
        <v>18.900000000000002</v>
      </c>
      <c r="J373" s="416"/>
      <c r="K373" s="281"/>
      <c r="L373" s="325" t="s">
        <v>560</v>
      </c>
      <c r="M373" s="68" t="str">
        <f>M354</f>
        <v>10 cm</v>
      </c>
      <c r="N373" s="165">
        <v>4.5</v>
      </c>
      <c r="O373" s="165">
        <v>4.2</v>
      </c>
      <c r="P373" s="275">
        <f t="shared" si="23"/>
        <v>17.4</v>
      </c>
      <c r="Q373" s="258">
        <v>1</v>
      </c>
      <c r="R373" s="274">
        <f t="shared" si="24"/>
        <v>17.4</v>
      </c>
      <c r="S373" s="416"/>
      <c r="T373" s="278"/>
    </row>
    <row r="374" spans="3:20" ht="15.75">
      <c r="C374" s="263"/>
      <c r="D374" s="68"/>
      <c r="E374" s="165">
        <v>2.25</v>
      </c>
      <c r="F374" s="165">
        <v>1.6</v>
      </c>
      <c r="G374" s="275">
        <f t="shared" si="21"/>
        <v>3.6</v>
      </c>
      <c r="H374" s="258">
        <v>1</v>
      </c>
      <c r="I374" s="274">
        <f t="shared" si="22"/>
        <v>3.6</v>
      </c>
      <c r="J374" s="417">
        <f>SUM(I373:I374)</f>
        <v>22.500000000000004</v>
      </c>
      <c r="K374" s="281">
        <f>SUM(J358:J374)</f>
        <v>200.97000000000003</v>
      </c>
      <c r="L374" s="263"/>
      <c r="M374" s="68"/>
      <c r="N374" s="165">
        <v>2.25</v>
      </c>
      <c r="O374" s="165">
        <v>1.6</v>
      </c>
      <c r="P374" s="275">
        <f>(N374+O374)*2</f>
        <v>7.7</v>
      </c>
      <c r="Q374" s="258">
        <v>1</v>
      </c>
      <c r="R374" s="274">
        <f t="shared" si="24"/>
        <v>7.7</v>
      </c>
      <c r="S374" s="417">
        <f>SUM(R373:R374)</f>
        <v>25.099999999999998</v>
      </c>
      <c r="T374" s="278"/>
    </row>
    <row r="375" spans="3:20" ht="15.75">
      <c r="C375" s="325" t="s">
        <v>561</v>
      </c>
      <c r="D375" s="484" t="s">
        <v>578</v>
      </c>
      <c r="E375" s="165">
        <v>2</v>
      </c>
      <c r="F375" s="165">
        <v>1.6</v>
      </c>
      <c r="G375" s="275">
        <f t="shared" si="21"/>
        <v>3.2</v>
      </c>
      <c r="H375" s="258">
        <v>1</v>
      </c>
      <c r="I375" s="274">
        <f t="shared" si="22"/>
        <v>3.2</v>
      </c>
      <c r="J375" s="483">
        <f>I375</f>
        <v>3.2</v>
      </c>
      <c r="K375" s="486">
        <f>J375</f>
        <v>3.2</v>
      </c>
      <c r="L375" s="325" t="s">
        <v>561</v>
      </c>
      <c r="M375" s="484" t="str">
        <f>M354</f>
        <v>10 cm</v>
      </c>
      <c r="N375" s="165"/>
      <c r="O375" s="165"/>
      <c r="P375" s="275"/>
      <c r="Q375" s="258"/>
      <c r="R375" s="274"/>
      <c r="S375" s="483"/>
      <c r="T375" s="278"/>
    </row>
    <row r="376" spans="3:20" ht="15.75">
      <c r="C376" s="325" t="s">
        <v>562</v>
      </c>
      <c r="D376" s="484"/>
      <c r="E376" s="165"/>
      <c r="F376" s="165"/>
      <c r="G376" s="275"/>
      <c r="H376" s="258"/>
      <c r="I376" s="274"/>
      <c r="J376" s="483"/>
      <c r="K376" s="281"/>
      <c r="L376" s="325" t="s">
        <v>562</v>
      </c>
      <c r="M376" s="484"/>
      <c r="N376" s="165"/>
      <c r="O376" s="165"/>
      <c r="P376" s="275"/>
      <c r="Q376" s="258"/>
      <c r="R376" s="274"/>
      <c r="S376" s="483"/>
      <c r="T376" s="278"/>
    </row>
    <row r="377" spans="3:20" ht="15.75">
      <c r="C377" s="263"/>
      <c r="D377" s="484"/>
      <c r="E377" s="165"/>
      <c r="F377" s="165"/>
      <c r="G377" s="275"/>
      <c r="H377" s="258"/>
      <c r="I377" s="274"/>
      <c r="J377" s="483"/>
      <c r="K377" s="281"/>
      <c r="L377" s="263"/>
      <c r="M377" s="484"/>
      <c r="N377" s="165"/>
      <c r="O377" s="165"/>
      <c r="P377" s="275"/>
      <c r="Q377" s="258"/>
      <c r="R377" s="274"/>
      <c r="S377" s="483"/>
      <c r="T377" s="278"/>
    </row>
    <row r="378" spans="3:20" ht="15.75">
      <c r="C378" s="263"/>
      <c r="D378" s="484"/>
      <c r="E378" s="165"/>
      <c r="F378" s="165"/>
      <c r="G378" s="275"/>
      <c r="H378" s="258"/>
      <c r="I378" s="274"/>
      <c r="J378" s="483"/>
      <c r="K378" s="281"/>
      <c r="L378" s="263"/>
      <c r="M378" s="484"/>
      <c r="N378" s="165"/>
      <c r="O378" s="165"/>
      <c r="P378" s="275"/>
      <c r="Q378" s="258"/>
      <c r="R378" s="274"/>
      <c r="S378" s="483"/>
      <c r="T378" s="278"/>
    </row>
    <row r="379" spans="3:20" ht="15.75">
      <c r="C379" s="325" t="s">
        <v>563</v>
      </c>
      <c r="D379" s="68" t="s">
        <v>509</v>
      </c>
      <c r="E379" s="165">
        <v>5.4</v>
      </c>
      <c r="F379" s="165">
        <v>1.5</v>
      </c>
      <c r="G379" s="275">
        <f t="shared" si="21"/>
        <v>8.100000000000001</v>
      </c>
      <c r="H379" s="258">
        <v>1</v>
      </c>
      <c r="I379" s="274">
        <f t="shared" si="22"/>
        <v>8.100000000000001</v>
      </c>
      <c r="J379" s="416"/>
      <c r="K379" s="281"/>
      <c r="L379" s="325" t="s">
        <v>563</v>
      </c>
      <c r="M379" s="68" t="str">
        <f>M354</f>
        <v>10 cm</v>
      </c>
      <c r="N379" s="165">
        <v>5.4</v>
      </c>
      <c r="O379" s="165">
        <v>1.5</v>
      </c>
      <c r="P379" s="275">
        <f aca="true" t="shared" si="25" ref="P379:P390">(N379+O379)*2</f>
        <v>13.8</v>
      </c>
      <c r="Q379" s="258">
        <v>1</v>
      </c>
      <c r="R379" s="274">
        <f>Q379*P379</f>
        <v>13.8</v>
      </c>
      <c r="S379" s="416"/>
      <c r="T379" s="278"/>
    </row>
    <row r="380" spans="3:20" ht="15.75">
      <c r="C380" s="263"/>
      <c r="D380" s="68"/>
      <c r="E380" s="165">
        <v>9</v>
      </c>
      <c r="F380" s="165">
        <v>3.5</v>
      </c>
      <c r="G380" s="275">
        <f t="shared" si="21"/>
        <v>31.5</v>
      </c>
      <c r="H380" s="258">
        <v>1</v>
      </c>
      <c r="I380" s="274">
        <f t="shared" si="22"/>
        <v>31.5</v>
      </c>
      <c r="J380" s="418"/>
      <c r="K380" s="281"/>
      <c r="L380" s="263"/>
      <c r="M380" s="68"/>
      <c r="N380" s="165">
        <v>9</v>
      </c>
      <c r="O380" s="165">
        <v>3.5</v>
      </c>
      <c r="P380" s="275">
        <f t="shared" si="25"/>
        <v>25</v>
      </c>
      <c r="Q380" s="258">
        <v>1</v>
      </c>
      <c r="R380" s="274">
        <f aca="true" t="shared" si="26" ref="R380:R390">Q380*P380</f>
        <v>25</v>
      </c>
      <c r="S380" s="418"/>
      <c r="T380" s="278"/>
    </row>
    <row r="381" spans="3:20" ht="15.75">
      <c r="C381" s="325"/>
      <c r="D381" s="68"/>
      <c r="E381" s="165">
        <v>6</v>
      </c>
      <c r="F381" s="165">
        <v>3</v>
      </c>
      <c r="G381" s="275">
        <f t="shared" si="21"/>
        <v>18</v>
      </c>
      <c r="H381" s="258">
        <v>1</v>
      </c>
      <c r="I381" s="274">
        <f t="shared" si="22"/>
        <v>18</v>
      </c>
      <c r="J381" s="276">
        <f>SUM(I379:I381)</f>
        <v>57.6</v>
      </c>
      <c r="K381" s="281"/>
      <c r="L381" s="325"/>
      <c r="M381" s="68"/>
      <c r="N381" s="165"/>
      <c r="O381" s="165">
        <v>3</v>
      </c>
      <c r="P381" s="275">
        <f t="shared" si="25"/>
        <v>6</v>
      </c>
      <c r="Q381" s="258">
        <v>1</v>
      </c>
      <c r="R381" s="274">
        <f t="shared" si="26"/>
        <v>6</v>
      </c>
      <c r="S381" s="276">
        <f>SUM(R379:R381)</f>
        <v>44.8</v>
      </c>
      <c r="T381" s="278"/>
    </row>
    <row r="382" spans="3:20" ht="15.75">
      <c r="C382" s="325" t="s">
        <v>564</v>
      </c>
      <c r="D382" s="68" t="s">
        <v>509</v>
      </c>
      <c r="E382" s="165">
        <v>9.45</v>
      </c>
      <c r="F382" s="165">
        <v>7.2</v>
      </c>
      <c r="G382" s="275">
        <f t="shared" si="21"/>
        <v>68.03999999999999</v>
      </c>
      <c r="H382" s="258">
        <v>1</v>
      </c>
      <c r="I382" s="274">
        <f t="shared" si="22"/>
        <v>68.03999999999999</v>
      </c>
      <c r="J382" s="276">
        <f>I382</f>
        <v>68.03999999999999</v>
      </c>
      <c r="K382" s="281"/>
      <c r="L382" s="325" t="s">
        <v>564</v>
      </c>
      <c r="M382" s="68" t="str">
        <f>M354</f>
        <v>10 cm</v>
      </c>
      <c r="N382" s="165">
        <v>9.45</v>
      </c>
      <c r="O382" s="165">
        <v>7.2</v>
      </c>
      <c r="P382" s="275">
        <f t="shared" si="25"/>
        <v>33.3</v>
      </c>
      <c r="Q382" s="258">
        <v>1</v>
      </c>
      <c r="R382" s="274">
        <f t="shared" si="26"/>
        <v>33.3</v>
      </c>
      <c r="S382" s="276">
        <f>R382</f>
        <v>33.3</v>
      </c>
      <c r="T382" s="278"/>
    </row>
    <row r="383" spans="3:20" ht="15.75">
      <c r="C383" s="325" t="s">
        <v>565</v>
      </c>
      <c r="D383" s="68" t="s">
        <v>509</v>
      </c>
      <c r="E383" s="165">
        <v>3.5</v>
      </c>
      <c r="F383" s="165">
        <v>3.6</v>
      </c>
      <c r="G383" s="275">
        <f t="shared" si="21"/>
        <v>12.6</v>
      </c>
      <c r="H383" s="258">
        <v>1</v>
      </c>
      <c r="I383" s="274">
        <f t="shared" si="22"/>
        <v>12.6</v>
      </c>
      <c r="J383" s="276"/>
      <c r="K383" s="281"/>
      <c r="L383" s="325" t="s">
        <v>565</v>
      </c>
      <c r="M383" s="68" t="str">
        <f>M354</f>
        <v>10 cm</v>
      </c>
      <c r="N383" s="165">
        <v>3.5</v>
      </c>
      <c r="O383" s="165"/>
      <c r="P383" s="275">
        <f t="shared" si="25"/>
        <v>7</v>
      </c>
      <c r="Q383" s="258">
        <v>1</v>
      </c>
      <c r="R383" s="274">
        <f t="shared" si="26"/>
        <v>7</v>
      </c>
      <c r="S383" s="276"/>
      <c r="T383" s="278"/>
    </row>
    <row r="384" spans="3:20" ht="15.75">
      <c r="C384" s="325"/>
      <c r="D384" s="258"/>
      <c r="E384" s="165">
        <v>3.525</v>
      </c>
      <c r="F384" s="165">
        <v>1.4</v>
      </c>
      <c r="G384" s="275">
        <f t="shared" si="21"/>
        <v>4.935</v>
      </c>
      <c r="H384" s="258">
        <v>1</v>
      </c>
      <c r="I384" s="274">
        <f t="shared" si="22"/>
        <v>4.935</v>
      </c>
      <c r="J384" s="276">
        <f>SUM(I383:I384)</f>
        <v>17.535</v>
      </c>
      <c r="K384" s="281"/>
      <c r="L384" s="325"/>
      <c r="M384" s="258"/>
      <c r="N384" s="165">
        <v>3.525</v>
      </c>
      <c r="O384" s="165">
        <v>1.4</v>
      </c>
      <c r="P384" s="275">
        <f t="shared" si="25"/>
        <v>9.85</v>
      </c>
      <c r="Q384" s="258">
        <v>1</v>
      </c>
      <c r="R384" s="274">
        <f t="shared" si="26"/>
        <v>9.85</v>
      </c>
      <c r="S384" s="276">
        <f>SUM(R383:R384)</f>
        <v>16.85</v>
      </c>
      <c r="T384" s="278"/>
    </row>
    <row r="385" spans="3:20" ht="15.75">
      <c r="C385" s="325" t="s">
        <v>566</v>
      </c>
      <c r="D385" s="68" t="s">
        <v>509</v>
      </c>
      <c r="E385" s="165">
        <v>4.5</v>
      </c>
      <c r="F385" s="165">
        <v>3</v>
      </c>
      <c r="G385" s="275">
        <f t="shared" si="21"/>
        <v>13.5</v>
      </c>
      <c r="H385" s="258">
        <v>1</v>
      </c>
      <c r="I385" s="274">
        <f t="shared" si="22"/>
        <v>13.5</v>
      </c>
      <c r="J385" s="276">
        <f aca="true" t="shared" si="27" ref="J385:J390">I385</f>
        <v>13.5</v>
      </c>
      <c r="K385" s="281"/>
      <c r="L385" s="325" t="s">
        <v>566</v>
      </c>
      <c r="M385" s="68">
        <f>M355</f>
        <v>0</v>
      </c>
      <c r="N385" s="165">
        <v>4.5</v>
      </c>
      <c r="O385" s="165">
        <v>3</v>
      </c>
      <c r="P385" s="275">
        <f t="shared" si="25"/>
        <v>15</v>
      </c>
      <c r="Q385" s="258">
        <v>1</v>
      </c>
      <c r="R385" s="274">
        <f t="shared" si="26"/>
        <v>15</v>
      </c>
      <c r="S385" s="276">
        <f aca="true" t="shared" si="28" ref="S385:S390">R385</f>
        <v>15</v>
      </c>
      <c r="T385" s="278"/>
    </row>
    <row r="386" spans="3:20" ht="15.75">
      <c r="C386" s="325" t="s">
        <v>567</v>
      </c>
      <c r="D386" s="68" t="s">
        <v>509</v>
      </c>
      <c r="E386" s="165">
        <v>4</v>
      </c>
      <c r="F386" s="165">
        <v>2.5</v>
      </c>
      <c r="G386" s="275">
        <f t="shared" si="21"/>
        <v>10</v>
      </c>
      <c r="H386" s="258">
        <v>1</v>
      </c>
      <c r="I386" s="274">
        <f t="shared" si="22"/>
        <v>10</v>
      </c>
      <c r="J386" s="276">
        <f t="shared" si="27"/>
        <v>10</v>
      </c>
      <c r="K386" s="281"/>
      <c r="L386" s="325" t="s">
        <v>567</v>
      </c>
      <c r="M386" s="68">
        <f>M356</f>
        <v>0</v>
      </c>
      <c r="N386" s="165">
        <v>4</v>
      </c>
      <c r="O386" s="165">
        <v>2.5</v>
      </c>
      <c r="P386" s="275">
        <f t="shared" si="25"/>
        <v>13</v>
      </c>
      <c r="Q386" s="258">
        <v>1</v>
      </c>
      <c r="R386" s="274">
        <f t="shared" si="26"/>
        <v>13</v>
      </c>
      <c r="S386" s="276">
        <f t="shared" si="28"/>
        <v>13</v>
      </c>
      <c r="T386" s="278"/>
    </row>
    <row r="387" spans="3:20" ht="15.75">
      <c r="C387" s="325" t="s">
        <v>568</v>
      </c>
      <c r="D387" s="68" t="s">
        <v>509</v>
      </c>
      <c r="E387" s="165">
        <v>2.5</v>
      </c>
      <c r="F387" s="165">
        <v>2</v>
      </c>
      <c r="G387" s="275">
        <f t="shared" si="21"/>
        <v>5</v>
      </c>
      <c r="H387" s="258">
        <v>1</v>
      </c>
      <c r="I387" s="274">
        <f t="shared" si="22"/>
        <v>5</v>
      </c>
      <c r="J387" s="276">
        <f t="shared" si="27"/>
        <v>5</v>
      </c>
      <c r="K387" s="281"/>
      <c r="L387" s="325" t="s">
        <v>568</v>
      </c>
      <c r="M387" s="68">
        <f>M357</f>
        <v>0</v>
      </c>
      <c r="N387" s="165">
        <v>2.5</v>
      </c>
      <c r="O387" s="165">
        <v>2</v>
      </c>
      <c r="P387" s="275">
        <f t="shared" si="25"/>
        <v>9</v>
      </c>
      <c r="Q387" s="258">
        <v>1</v>
      </c>
      <c r="R387" s="274">
        <f t="shared" si="26"/>
        <v>9</v>
      </c>
      <c r="S387" s="276">
        <f t="shared" si="28"/>
        <v>9</v>
      </c>
      <c r="T387" s="278"/>
    </row>
    <row r="388" spans="3:20" ht="15.75">
      <c r="C388" s="325" t="s">
        <v>569</v>
      </c>
      <c r="D388" s="68" t="s">
        <v>509</v>
      </c>
      <c r="E388" s="165">
        <v>2.5</v>
      </c>
      <c r="F388" s="165">
        <v>1.8</v>
      </c>
      <c r="G388" s="275">
        <f t="shared" si="21"/>
        <v>4.5</v>
      </c>
      <c r="H388" s="258">
        <v>1</v>
      </c>
      <c r="I388" s="274">
        <f t="shared" si="22"/>
        <v>4.5</v>
      </c>
      <c r="J388" s="276">
        <f t="shared" si="27"/>
        <v>4.5</v>
      </c>
      <c r="K388" s="281"/>
      <c r="L388" s="325" t="s">
        <v>569</v>
      </c>
      <c r="M388" s="68" t="str">
        <f>M358</f>
        <v>10 cm</v>
      </c>
      <c r="N388" s="165">
        <v>2.5</v>
      </c>
      <c r="O388" s="165">
        <v>1.8</v>
      </c>
      <c r="P388" s="275">
        <f t="shared" si="25"/>
        <v>8.6</v>
      </c>
      <c r="Q388" s="258">
        <v>1</v>
      </c>
      <c r="R388" s="274">
        <f t="shared" si="26"/>
        <v>8.6</v>
      </c>
      <c r="S388" s="276">
        <f t="shared" si="28"/>
        <v>8.6</v>
      </c>
      <c r="T388" s="278"/>
    </row>
    <row r="389" spans="3:20" ht="15.75">
      <c r="C389" s="325" t="s">
        <v>570</v>
      </c>
      <c r="D389" s="68" t="s">
        <v>509</v>
      </c>
      <c r="E389" s="165">
        <v>2.5</v>
      </c>
      <c r="F389" s="165">
        <v>1.2</v>
      </c>
      <c r="G389" s="275">
        <f t="shared" si="21"/>
        <v>3</v>
      </c>
      <c r="H389" s="258">
        <v>1</v>
      </c>
      <c r="I389" s="274">
        <f t="shared" si="22"/>
        <v>3</v>
      </c>
      <c r="J389" s="276">
        <f t="shared" si="27"/>
        <v>3</v>
      </c>
      <c r="K389" s="281">
        <f>SUM(J379:J389)</f>
        <v>179.17499999999998</v>
      </c>
      <c r="L389" s="325" t="s">
        <v>570</v>
      </c>
      <c r="M389" s="68" t="str">
        <f>M358</f>
        <v>10 cm</v>
      </c>
      <c r="N389" s="165">
        <v>2.5</v>
      </c>
      <c r="O389" s="165">
        <v>1.2</v>
      </c>
      <c r="P389" s="275">
        <f t="shared" si="25"/>
        <v>7.4</v>
      </c>
      <c r="Q389" s="258">
        <v>1</v>
      </c>
      <c r="R389" s="274">
        <f t="shared" si="26"/>
        <v>7.4</v>
      </c>
      <c r="S389" s="276">
        <f t="shared" si="28"/>
        <v>7.4</v>
      </c>
      <c r="T389" s="278"/>
    </row>
    <row r="390" spans="3:20" ht="15.75">
      <c r="C390" s="325" t="s">
        <v>571</v>
      </c>
      <c r="D390" s="484" t="s">
        <v>578</v>
      </c>
      <c r="E390" s="165">
        <v>3.6</v>
      </c>
      <c r="F390" s="165">
        <v>3.5</v>
      </c>
      <c r="G390" s="275">
        <f t="shared" si="21"/>
        <v>12.6</v>
      </c>
      <c r="H390" s="258">
        <v>1</v>
      </c>
      <c r="I390" s="274">
        <f t="shared" si="22"/>
        <v>12.6</v>
      </c>
      <c r="J390" s="483">
        <f t="shared" si="27"/>
        <v>12.6</v>
      </c>
      <c r="K390" s="486">
        <f>J390</f>
        <v>12.6</v>
      </c>
      <c r="L390" s="325" t="s">
        <v>571</v>
      </c>
      <c r="M390" s="484" t="str">
        <f>M354</f>
        <v>10 cm</v>
      </c>
      <c r="N390" s="165">
        <v>3.6</v>
      </c>
      <c r="O390" s="165">
        <v>3.5</v>
      </c>
      <c r="P390" s="275">
        <f t="shared" si="25"/>
        <v>14.2</v>
      </c>
      <c r="Q390" s="258">
        <v>1</v>
      </c>
      <c r="R390" s="274">
        <f t="shared" si="26"/>
        <v>14.2</v>
      </c>
      <c r="S390" s="483">
        <f t="shared" si="28"/>
        <v>14.2</v>
      </c>
      <c r="T390" s="278"/>
    </row>
    <row r="391" spans="3:20" ht="15.75">
      <c r="C391" s="325"/>
      <c r="D391" s="484"/>
      <c r="E391" s="165"/>
      <c r="F391" s="165"/>
      <c r="G391" s="275"/>
      <c r="H391" s="258"/>
      <c r="I391" s="274"/>
      <c r="J391" s="483"/>
      <c r="K391" s="281"/>
      <c r="L391" s="325"/>
      <c r="M391" s="484"/>
      <c r="N391" s="165"/>
      <c r="O391" s="165"/>
      <c r="P391" s="275"/>
      <c r="Q391" s="258"/>
      <c r="R391" s="274"/>
      <c r="S391" s="483"/>
      <c r="T391" s="278"/>
    </row>
    <row r="392" spans="3:20" ht="15.75">
      <c r="C392" s="325"/>
      <c r="D392" s="68"/>
      <c r="E392" s="165"/>
      <c r="F392" s="165"/>
      <c r="G392" s="275"/>
      <c r="H392" s="258"/>
      <c r="I392" s="274"/>
      <c r="J392" s="483"/>
      <c r="K392" s="281"/>
      <c r="L392" s="325"/>
      <c r="M392" s="68"/>
      <c r="N392" s="165"/>
      <c r="O392" s="165"/>
      <c r="P392" s="275"/>
      <c r="Q392" s="258"/>
      <c r="R392" s="274"/>
      <c r="S392" s="483"/>
      <c r="T392" s="278"/>
    </row>
    <row r="393" spans="3:20" ht="15.75">
      <c r="C393" s="325"/>
      <c r="D393" s="68"/>
      <c r="E393" s="165"/>
      <c r="F393" s="165"/>
      <c r="G393" s="275"/>
      <c r="H393" s="258"/>
      <c r="I393" s="274"/>
      <c r="J393" s="483"/>
      <c r="K393" s="281"/>
      <c r="L393" s="325"/>
      <c r="M393" s="68"/>
      <c r="N393" s="165"/>
      <c r="O393" s="165"/>
      <c r="P393" s="275"/>
      <c r="Q393" s="258"/>
      <c r="R393" s="274"/>
      <c r="S393" s="483"/>
      <c r="T393" s="278"/>
    </row>
    <row r="394" spans="3:20" ht="15.75">
      <c r="C394" s="325"/>
      <c r="D394" s="68"/>
      <c r="E394" s="165"/>
      <c r="F394" s="165"/>
      <c r="G394" s="275"/>
      <c r="H394" s="258"/>
      <c r="I394" s="274"/>
      <c r="J394" s="483"/>
      <c r="K394" s="281"/>
      <c r="L394" s="325"/>
      <c r="M394" s="68"/>
      <c r="N394" s="165"/>
      <c r="O394" s="165"/>
      <c r="P394" s="275"/>
      <c r="Q394" s="258"/>
      <c r="R394" s="274"/>
      <c r="S394" s="483"/>
      <c r="T394" s="278"/>
    </row>
    <row r="395" spans="3:20" ht="15.75">
      <c r="C395" s="325"/>
      <c r="D395" s="68"/>
      <c r="E395" s="165"/>
      <c r="F395" s="165"/>
      <c r="G395" s="275"/>
      <c r="H395" s="258"/>
      <c r="I395" s="274"/>
      <c r="J395" s="483"/>
      <c r="K395" s="281"/>
      <c r="L395" s="325"/>
      <c r="M395" s="68"/>
      <c r="N395" s="165"/>
      <c r="O395" s="165"/>
      <c r="P395" s="275"/>
      <c r="Q395" s="258"/>
      <c r="R395" s="274"/>
      <c r="S395" s="483"/>
      <c r="T395" s="278"/>
    </row>
    <row r="396" spans="3:20" ht="15.75">
      <c r="C396" s="325" t="s">
        <v>572</v>
      </c>
      <c r="D396" s="484" t="s">
        <v>578</v>
      </c>
      <c r="E396" s="165">
        <v>3.6</v>
      </c>
      <c r="F396" s="165">
        <v>3.5</v>
      </c>
      <c r="G396" s="275">
        <f t="shared" si="21"/>
        <v>12.6</v>
      </c>
      <c r="H396" s="258">
        <v>1</v>
      </c>
      <c r="I396" s="274">
        <f t="shared" si="22"/>
        <v>12.6</v>
      </c>
      <c r="J396" s="483">
        <f>I396</f>
        <v>12.6</v>
      </c>
      <c r="K396" s="486">
        <f>J396</f>
        <v>12.6</v>
      </c>
      <c r="L396" s="325" t="s">
        <v>572</v>
      </c>
      <c r="M396" s="484" t="s">
        <v>491</v>
      </c>
      <c r="N396" s="165">
        <v>3.6</v>
      </c>
      <c r="O396" s="165">
        <v>3.5</v>
      </c>
      <c r="P396" s="275">
        <f>(N396+O396)*2</f>
        <v>14.2</v>
      </c>
      <c r="Q396" s="258">
        <v>1</v>
      </c>
      <c r="R396" s="274">
        <f>Q396*P396</f>
        <v>14.2</v>
      </c>
      <c r="S396" s="483">
        <f>R396</f>
        <v>14.2</v>
      </c>
      <c r="T396" s="278"/>
    </row>
    <row r="397" spans="3:20" ht="15.75">
      <c r="C397" s="325"/>
      <c r="D397" s="484"/>
      <c r="E397" s="165"/>
      <c r="F397" s="165"/>
      <c r="G397" s="275"/>
      <c r="H397" s="258"/>
      <c r="I397" s="274"/>
      <c r="J397" s="483"/>
      <c r="K397" s="281"/>
      <c r="L397" s="325"/>
      <c r="M397" s="484" t="s">
        <v>492</v>
      </c>
      <c r="N397" s="165"/>
      <c r="O397" s="165"/>
      <c r="P397" s="275"/>
      <c r="Q397" s="258"/>
      <c r="R397" s="274"/>
      <c r="S397" s="483"/>
      <c r="T397" s="278"/>
    </row>
    <row r="398" spans="3:20" ht="15.75">
      <c r="C398" s="325"/>
      <c r="D398" s="68"/>
      <c r="E398" s="165"/>
      <c r="F398" s="165"/>
      <c r="G398" s="275"/>
      <c r="H398" s="258"/>
      <c r="I398" s="274"/>
      <c r="J398" s="483"/>
      <c r="K398" s="281"/>
      <c r="L398" s="325"/>
      <c r="M398" s="68"/>
      <c r="N398" s="165"/>
      <c r="O398" s="165"/>
      <c r="P398" s="275"/>
      <c r="Q398" s="258"/>
      <c r="R398" s="274"/>
      <c r="S398" s="483"/>
      <c r="T398" s="278"/>
    </row>
    <row r="399" spans="3:20" ht="15.75">
      <c r="C399" s="325"/>
      <c r="D399" s="68"/>
      <c r="E399" s="165"/>
      <c r="F399" s="165"/>
      <c r="G399" s="275"/>
      <c r="H399" s="258"/>
      <c r="I399" s="274"/>
      <c r="J399" s="483"/>
      <c r="K399" s="281"/>
      <c r="L399" s="325"/>
      <c r="M399" s="68"/>
      <c r="N399" s="165"/>
      <c r="O399" s="165"/>
      <c r="P399" s="275"/>
      <c r="Q399" s="258"/>
      <c r="R399" s="274"/>
      <c r="S399" s="483"/>
      <c r="T399" s="278"/>
    </row>
    <row r="400" spans="3:20" ht="15.75">
      <c r="C400" s="325"/>
      <c r="D400" s="68"/>
      <c r="E400" s="165"/>
      <c r="F400" s="165"/>
      <c r="G400" s="275"/>
      <c r="H400" s="258"/>
      <c r="I400" s="274"/>
      <c r="J400" s="483"/>
      <c r="K400" s="281"/>
      <c r="L400" s="325"/>
      <c r="M400" s="68"/>
      <c r="N400" s="165"/>
      <c r="O400" s="165"/>
      <c r="P400" s="275"/>
      <c r="Q400" s="258"/>
      <c r="R400" s="274"/>
      <c r="S400" s="483"/>
      <c r="T400" s="278"/>
    </row>
    <row r="401" spans="3:20" ht="15.75">
      <c r="C401" s="325"/>
      <c r="D401" s="68"/>
      <c r="E401" s="165"/>
      <c r="F401" s="165"/>
      <c r="G401" s="275"/>
      <c r="H401" s="258"/>
      <c r="I401" s="274"/>
      <c r="J401" s="483"/>
      <c r="K401" s="281"/>
      <c r="L401" s="325"/>
      <c r="M401" s="68"/>
      <c r="N401" s="165"/>
      <c r="O401" s="165"/>
      <c r="P401" s="275"/>
      <c r="Q401" s="258"/>
      <c r="R401" s="274"/>
      <c r="S401" s="483"/>
      <c r="T401" s="278"/>
    </row>
    <row r="402" spans="3:20" ht="15.75">
      <c r="C402" s="325" t="s">
        <v>573</v>
      </c>
      <c r="D402" s="484" t="s">
        <v>578</v>
      </c>
      <c r="E402" s="165">
        <v>4.6</v>
      </c>
      <c r="F402" s="165">
        <v>2</v>
      </c>
      <c r="G402" s="275">
        <f t="shared" si="21"/>
        <v>9.2</v>
      </c>
      <c r="H402" s="258">
        <v>1</v>
      </c>
      <c r="I402" s="274">
        <f t="shared" si="22"/>
        <v>9.2</v>
      </c>
      <c r="J402" s="416"/>
      <c r="K402" s="486"/>
      <c r="L402" s="325" t="s">
        <v>573</v>
      </c>
      <c r="M402" s="68" t="s">
        <v>576</v>
      </c>
      <c r="N402" s="165">
        <v>4.6</v>
      </c>
      <c r="O402" s="165">
        <v>2</v>
      </c>
      <c r="P402" s="275">
        <f aca="true" t="shared" si="29" ref="P402:P409">(N402+O402)*2</f>
        <v>13.2</v>
      </c>
      <c r="Q402" s="258">
        <v>1</v>
      </c>
      <c r="R402" s="274">
        <f aca="true" t="shared" si="30" ref="R402:R415">Q402*P402</f>
        <v>13.2</v>
      </c>
      <c r="S402" s="276"/>
      <c r="T402" s="278"/>
    </row>
    <row r="403" spans="3:20" ht="15.75">
      <c r="C403" s="325"/>
      <c r="D403" s="68"/>
      <c r="E403" s="165">
        <f>(0.9+2)/2</f>
        <v>1.45</v>
      </c>
      <c r="F403" s="165">
        <v>2</v>
      </c>
      <c r="G403" s="275">
        <f t="shared" si="21"/>
        <v>2.9</v>
      </c>
      <c r="H403" s="258">
        <v>1</v>
      </c>
      <c r="I403" s="274">
        <f t="shared" si="22"/>
        <v>2.9</v>
      </c>
      <c r="J403" s="416"/>
      <c r="K403" s="486"/>
      <c r="L403" s="325"/>
      <c r="M403" s="68"/>
      <c r="N403" s="165"/>
      <c r="O403" s="165"/>
      <c r="P403" s="275">
        <f t="shared" si="29"/>
        <v>0</v>
      </c>
      <c r="Q403" s="258">
        <v>1</v>
      </c>
      <c r="R403" s="274">
        <f t="shared" si="30"/>
        <v>0</v>
      </c>
      <c r="S403" s="276"/>
      <c r="T403" s="278"/>
    </row>
    <row r="404" spans="3:20" ht="15.75">
      <c r="C404" s="325"/>
      <c r="D404" s="68"/>
      <c r="E404" s="165">
        <v>4</v>
      </c>
      <c r="F404" s="165">
        <v>0.3</v>
      </c>
      <c r="G404" s="275">
        <f t="shared" si="21"/>
        <v>1.2</v>
      </c>
      <c r="H404" s="258">
        <v>1</v>
      </c>
      <c r="I404" s="274">
        <f t="shared" si="22"/>
        <v>1.2</v>
      </c>
      <c r="J404" s="416"/>
      <c r="K404" s="486"/>
      <c r="L404" s="325"/>
      <c r="M404" s="68"/>
      <c r="N404" s="165"/>
      <c r="O404" s="165"/>
      <c r="P404" s="275">
        <f t="shared" si="29"/>
        <v>0</v>
      </c>
      <c r="Q404" s="258">
        <v>1</v>
      </c>
      <c r="R404" s="274">
        <f t="shared" si="30"/>
        <v>0</v>
      </c>
      <c r="S404" s="276"/>
      <c r="T404" s="278"/>
    </row>
    <row r="405" spans="3:20" ht="15.75">
      <c r="C405" s="325"/>
      <c r="D405" s="68"/>
      <c r="E405" s="165">
        <v>3</v>
      </c>
      <c r="F405" s="165">
        <v>0.3</v>
      </c>
      <c r="G405" s="275">
        <f t="shared" si="21"/>
        <v>0.8999999999999999</v>
      </c>
      <c r="H405" s="258">
        <v>1</v>
      </c>
      <c r="I405" s="274">
        <f t="shared" si="22"/>
        <v>0.8999999999999999</v>
      </c>
      <c r="J405" s="416"/>
      <c r="K405" s="486"/>
      <c r="L405" s="325"/>
      <c r="M405" s="68"/>
      <c r="N405" s="165"/>
      <c r="O405" s="165"/>
      <c r="P405" s="275">
        <f t="shared" si="29"/>
        <v>0</v>
      </c>
      <c r="Q405" s="258">
        <v>1</v>
      </c>
      <c r="R405" s="274">
        <f t="shared" si="30"/>
        <v>0</v>
      </c>
      <c r="S405" s="276"/>
      <c r="T405" s="278"/>
    </row>
    <row r="406" spans="3:20" ht="15.75">
      <c r="C406" s="325"/>
      <c r="D406" s="68"/>
      <c r="E406" s="165">
        <v>4</v>
      </c>
      <c r="F406" s="165">
        <v>0.36</v>
      </c>
      <c r="G406" s="275">
        <f t="shared" si="21"/>
        <v>1.44</v>
      </c>
      <c r="H406" s="258">
        <v>1</v>
      </c>
      <c r="I406" s="274">
        <f t="shared" si="22"/>
        <v>1.44</v>
      </c>
      <c r="J406" s="416">
        <f>SUM(I402:I406)</f>
        <v>15.639999999999999</v>
      </c>
      <c r="K406" s="486"/>
      <c r="L406" s="325"/>
      <c r="M406" s="68"/>
      <c r="N406" s="165"/>
      <c r="O406" s="165"/>
      <c r="P406" s="275">
        <f t="shared" si="29"/>
        <v>0</v>
      </c>
      <c r="Q406" s="258">
        <v>1</v>
      </c>
      <c r="R406" s="274">
        <f t="shared" si="30"/>
        <v>0</v>
      </c>
      <c r="S406" s="276">
        <f>SUM(R402:R406)</f>
        <v>13.2</v>
      </c>
      <c r="T406" s="278"/>
    </row>
    <row r="407" spans="3:20" ht="15.75">
      <c r="C407" s="325" t="s">
        <v>574</v>
      </c>
      <c r="D407" s="484" t="s">
        <v>578</v>
      </c>
      <c r="E407" s="165">
        <v>4.6</v>
      </c>
      <c r="F407" s="165">
        <v>2</v>
      </c>
      <c r="G407" s="275">
        <f aca="true" t="shared" si="31" ref="G407:G415">E407*F407</f>
        <v>9.2</v>
      </c>
      <c r="H407" s="258">
        <v>1</v>
      </c>
      <c r="I407" s="274">
        <f aca="true" t="shared" si="32" ref="I407:I415">H407*G407</f>
        <v>9.2</v>
      </c>
      <c r="J407" s="416"/>
      <c r="K407" s="486"/>
      <c r="L407" s="325" t="s">
        <v>574</v>
      </c>
      <c r="M407" s="68" t="s">
        <v>576</v>
      </c>
      <c r="N407" s="165">
        <v>4.6</v>
      </c>
      <c r="O407" s="165">
        <v>2</v>
      </c>
      <c r="P407" s="275">
        <f t="shared" si="29"/>
        <v>13.2</v>
      </c>
      <c r="Q407" s="258">
        <v>1</v>
      </c>
      <c r="R407" s="274">
        <f t="shared" si="30"/>
        <v>13.2</v>
      </c>
      <c r="S407" s="276"/>
      <c r="T407" s="278"/>
    </row>
    <row r="408" spans="3:20" ht="15.75">
      <c r="C408" s="325"/>
      <c r="D408" s="68"/>
      <c r="E408" s="165">
        <f>(0.9+2)/2</f>
        <v>1.45</v>
      </c>
      <c r="F408" s="165">
        <v>2</v>
      </c>
      <c r="G408" s="275">
        <f t="shared" si="31"/>
        <v>2.9</v>
      </c>
      <c r="H408" s="258">
        <v>1</v>
      </c>
      <c r="I408" s="274">
        <f t="shared" si="32"/>
        <v>2.9</v>
      </c>
      <c r="J408" s="416"/>
      <c r="K408" s="486"/>
      <c r="L408" s="325"/>
      <c r="M408" s="68"/>
      <c r="N408" s="165"/>
      <c r="O408" s="165"/>
      <c r="P408" s="275">
        <f t="shared" si="29"/>
        <v>0</v>
      </c>
      <c r="Q408" s="258">
        <v>1</v>
      </c>
      <c r="R408" s="274">
        <f t="shared" si="30"/>
        <v>0</v>
      </c>
      <c r="S408" s="276"/>
      <c r="T408" s="278"/>
    </row>
    <row r="409" spans="3:20" ht="15.75">
      <c r="C409" s="325"/>
      <c r="D409" s="68"/>
      <c r="E409" s="165">
        <v>4</v>
      </c>
      <c r="F409" s="165">
        <v>0.3</v>
      </c>
      <c r="G409" s="275">
        <f t="shared" si="31"/>
        <v>1.2</v>
      </c>
      <c r="H409" s="258">
        <v>1</v>
      </c>
      <c r="I409" s="274">
        <f t="shared" si="32"/>
        <v>1.2</v>
      </c>
      <c r="J409" s="416"/>
      <c r="K409" s="486"/>
      <c r="L409" s="325"/>
      <c r="M409" s="68"/>
      <c r="N409" s="165"/>
      <c r="O409" s="165"/>
      <c r="P409" s="275">
        <f t="shared" si="29"/>
        <v>0</v>
      </c>
      <c r="Q409" s="258">
        <v>1</v>
      </c>
      <c r="R409" s="274">
        <f t="shared" si="30"/>
        <v>0</v>
      </c>
      <c r="S409" s="276"/>
      <c r="T409" s="278"/>
    </row>
    <row r="410" spans="3:20" ht="15.75">
      <c r="C410" s="325"/>
      <c r="D410" s="68"/>
      <c r="E410" s="165">
        <v>3</v>
      </c>
      <c r="F410" s="165">
        <v>0.3</v>
      </c>
      <c r="G410" s="275">
        <f t="shared" si="31"/>
        <v>0.8999999999999999</v>
      </c>
      <c r="H410" s="258">
        <v>1</v>
      </c>
      <c r="I410" s="274">
        <f t="shared" si="32"/>
        <v>0.8999999999999999</v>
      </c>
      <c r="J410" s="416"/>
      <c r="K410" s="486"/>
      <c r="L410" s="325"/>
      <c r="M410" s="68"/>
      <c r="N410" s="165"/>
      <c r="O410" s="165"/>
      <c r="P410" s="275">
        <f aca="true" t="shared" si="33" ref="P410:P415">(N410+O410)*2</f>
        <v>0</v>
      </c>
      <c r="Q410" s="258">
        <v>1</v>
      </c>
      <c r="R410" s="274">
        <f t="shared" si="30"/>
        <v>0</v>
      </c>
      <c r="S410" s="276"/>
      <c r="T410" s="278"/>
    </row>
    <row r="411" spans="3:20" ht="15.75">
      <c r="C411" s="325"/>
      <c r="D411" s="68"/>
      <c r="E411" s="165">
        <v>4</v>
      </c>
      <c r="F411" s="165">
        <v>0.36</v>
      </c>
      <c r="G411" s="275">
        <f t="shared" si="31"/>
        <v>1.44</v>
      </c>
      <c r="H411" s="258">
        <v>1</v>
      </c>
      <c r="I411" s="274">
        <f t="shared" si="32"/>
        <v>1.44</v>
      </c>
      <c r="J411" s="416">
        <f>SUM(I407:I411)</f>
        <v>15.639999999999999</v>
      </c>
      <c r="K411" s="486"/>
      <c r="L411" s="325"/>
      <c r="M411" s="68"/>
      <c r="N411" s="165"/>
      <c r="O411" s="165"/>
      <c r="P411" s="275">
        <f t="shared" si="33"/>
        <v>0</v>
      </c>
      <c r="Q411" s="258">
        <v>1</v>
      </c>
      <c r="R411" s="274">
        <f t="shared" si="30"/>
        <v>0</v>
      </c>
      <c r="S411" s="276">
        <f>SUM(R407:R411)</f>
        <v>13.2</v>
      </c>
      <c r="T411" s="278"/>
    </row>
    <row r="412" spans="3:20" ht="15.75">
      <c r="C412" s="325" t="s">
        <v>575</v>
      </c>
      <c r="D412" s="484" t="s">
        <v>578</v>
      </c>
      <c r="E412" s="165">
        <v>3.5</v>
      </c>
      <c r="F412" s="165">
        <v>2.7</v>
      </c>
      <c r="G412" s="275">
        <f t="shared" si="31"/>
        <v>9.450000000000001</v>
      </c>
      <c r="H412" s="258">
        <v>1</v>
      </c>
      <c r="I412" s="274">
        <f t="shared" si="32"/>
        <v>9.450000000000001</v>
      </c>
      <c r="J412" s="416"/>
      <c r="K412" s="486"/>
      <c r="L412" s="325" t="s">
        <v>575</v>
      </c>
      <c r="M412" s="68" t="s">
        <v>576</v>
      </c>
      <c r="N412" s="165">
        <v>3.5</v>
      </c>
      <c r="O412" s="165">
        <v>2.7</v>
      </c>
      <c r="P412" s="275">
        <f t="shared" si="33"/>
        <v>12.4</v>
      </c>
      <c r="Q412" s="258">
        <v>1</v>
      </c>
      <c r="R412" s="274">
        <f t="shared" si="30"/>
        <v>12.4</v>
      </c>
      <c r="S412" s="276"/>
      <c r="T412" s="278"/>
    </row>
    <row r="413" spans="3:20" ht="15.75">
      <c r="C413" s="325"/>
      <c r="D413" s="68"/>
      <c r="E413" s="165">
        <v>4.5</v>
      </c>
      <c r="F413" s="165">
        <v>0.3</v>
      </c>
      <c r="G413" s="275">
        <f t="shared" si="31"/>
        <v>1.3499999999999999</v>
      </c>
      <c r="H413" s="258">
        <v>1</v>
      </c>
      <c r="I413" s="274">
        <f t="shared" si="32"/>
        <v>1.3499999999999999</v>
      </c>
      <c r="J413" s="416"/>
      <c r="K413" s="486"/>
      <c r="L413" s="325"/>
      <c r="M413" s="68"/>
      <c r="N413" s="165"/>
      <c r="O413" s="165"/>
      <c r="P413" s="275">
        <f t="shared" si="33"/>
        <v>0</v>
      </c>
      <c r="Q413" s="258">
        <v>1</v>
      </c>
      <c r="R413" s="274">
        <f t="shared" si="30"/>
        <v>0</v>
      </c>
      <c r="S413" s="276"/>
      <c r="T413" s="278"/>
    </row>
    <row r="414" spans="3:20" ht="15.75">
      <c r="C414" s="325"/>
      <c r="D414" s="68"/>
      <c r="E414" s="165">
        <v>1.2</v>
      </c>
      <c r="F414" s="165">
        <v>0.3</v>
      </c>
      <c r="G414" s="275">
        <f t="shared" si="31"/>
        <v>0.36</v>
      </c>
      <c r="H414" s="258">
        <v>2</v>
      </c>
      <c r="I414" s="274">
        <f t="shared" si="32"/>
        <v>0.72</v>
      </c>
      <c r="J414" s="416"/>
      <c r="K414" s="486"/>
      <c r="L414" s="325"/>
      <c r="M414" s="68"/>
      <c r="N414" s="165"/>
      <c r="O414" s="165"/>
      <c r="P414" s="275">
        <f t="shared" si="33"/>
        <v>0</v>
      </c>
      <c r="Q414" s="258">
        <v>1</v>
      </c>
      <c r="R414" s="274">
        <f t="shared" si="30"/>
        <v>0</v>
      </c>
      <c r="S414" s="276"/>
      <c r="T414" s="278"/>
    </row>
    <row r="415" spans="3:20" ht="15.75">
      <c r="C415" s="325"/>
      <c r="D415" s="68"/>
      <c r="E415" s="165">
        <v>5.7</v>
      </c>
      <c r="F415" s="165">
        <v>0.36</v>
      </c>
      <c r="G415" s="275">
        <f t="shared" si="31"/>
        <v>2.052</v>
      </c>
      <c r="H415" s="258">
        <v>1</v>
      </c>
      <c r="I415" s="274">
        <f t="shared" si="32"/>
        <v>2.052</v>
      </c>
      <c r="J415" s="416">
        <f>SUM(I412:I415)</f>
        <v>13.572000000000001</v>
      </c>
      <c r="K415" s="487">
        <f>SUM(J402:J415)</f>
        <v>44.852</v>
      </c>
      <c r="L415" s="325"/>
      <c r="M415" s="68"/>
      <c r="N415" s="165"/>
      <c r="O415" s="165"/>
      <c r="P415" s="275">
        <f t="shared" si="33"/>
        <v>0</v>
      </c>
      <c r="Q415" s="258">
        <v>1</v>
      </c>
      <c r="R415" s="274">
        <f t="shared" si="30"/>
        <v>0</v>
      </c>
      <c r="S415" s="276">
        <f>SUM(R412:R415)</f>
        <v>12.4</v>
      </c>
      <c r="T415" s="278">
        <f>SUM(S354:S415)</f>
        <v>423.54999999999995</v>
      </c>
    </row>
    <row r="416" spans="3:20" ht="15.75">
      <c r="C416" s="325"/>
      <c r="D416" s="68"/>
      <c r="E416" s="165"/>
      <c r="F416" s="165"/>
      <c r="G416" s="275"/>
      <c r="H416" s="258"/>
      <c r="I416" s="274"/>
      <c r="J416" s="276"/>
      <c r="K416" s="488">
        <f>K415+K396+K390+K375+K357</f>
        <v>98.09199999999998</v>
      </c>
      <c r="L416" s="263"/>
      <c r="M416" s="258"/>
      <c r="N416" s="274"/>
      <c r="O416" s="274"/>
      <c r="P416" s="275"/>
      <c r="Q416" s="258"/>
      <c r="R416" s="274"/>
      <c r="S416" s="274"/>
      <c r="T416" s="278"/>
    </row>
    <row r="417" spans="3:20" ht="15.75">
      <c r="C417" s="325"/>
      <c r="D417" s="68"/>
      <c r="E417" s="165"/>
      <c r="F417" s="165"/>
      <c r="G417" s="275"/>
      <c r="H417" s="258"/>
      <c r="I417" s="274"/>
      <c r="J417" s="276"/>
      <c r="K417" s="281">
        <f>K389+K374</f>
        <v>380.145</v>
      </c>
      <c r="L417" s="263"/>
      <c r="M417" s="258"/>
      <c r="N417" s="274"/>
      <c r="O417" s="274"/>
      <c r="P417" s="275"/>
      <c r="Q417" s="258"/>
      <c r="R417" s="274"/>
      <c r="S417" s="298"/>
      <c r="T417" s="278"/>
    </row>
    <row r="418" spans="3:20" ht="15.75">
      <c r="C418" s="325" t="s">
        <v>577</v>
      </c>
      <c r="D418" s="484" t="s">
        <v>578</v>
      </c>
      <c r="E418" s="165">
        <v>32</v>
      </c>
      <c r="F418" s="165"/>
      <c r="G418" s="275"/>
      <c r="H418" s="258"/>
      <c r="I418" s="274"/>
      <c r="J418" s="276"/>
      <c r="K418" s="281"/>
      <c r="L418" s="292"/>
      <c r="M418" s="266"/>
      <c r="N418" s="165"/>
      <c r="O418" s="165"/>
      <c r="P418" s="275"/>
      <c r="Q418" s="258"/>
      <c r="R418" s="274"/>
      <c r="S418" s="291"/>
      <c r="T418" s="290"/>
    </row>
    <row r="419" spans="3:20" ht="16.5" thickBot="1">
      <c r="C419" s="325"/>
      <c r="D419" s="68"/>
      <c r="E419" s="165">
        <v>18</v>
      </c>
      <c r="F419" s="165"/>
      <c r="G419" s="275"/>
      <c r="H419" s="258"/>
      <c r="I419" s="274"/>
      <c r="J419" s="276"/>
      <c r="K419" s="281"/>
      <c r="L419" s="292"/>
      <c r="M419" s="266"/>
      <c r="N419" s="165"/>
      <c r="O419" s="165"/>
      <c r="P419" s="275"/>
      <c r="Q419" s="258"/>
      <c r="R419" s="274"/>
      <c r="S419" s="291"/>
      <c r="T419" s="290"/>
    </row>
    <row r="420" spans="3:20" ht="15.75">
      <c r="C420" s="325"/>
      <c r="D420" s="68"/>
      <c r="E420" s="478">
        <f>SUM(E418:E419)</f>
        <v>50</v>
      </c>
      <c r="F420" s="258">
        <v>1.5</v>
      </c>
      <c r="G420" s="275">
        <f>F420*E420</f>
        <v>75</v>
      </c>
      <c r="H420" s="258">
        <v>2</v>
      </c>
      <c r="I420" s="274">
        <f>H420*G420</f>
        <v>150</v>
      </c>
      <c r="J420" s="276"/>
      <c r="K420" s="281"/>
      <c r="L420" s="292"/>
      <c r="M420" s="266"/>
      <c r="N420" s="165"/>
      <c r="O420" s="165"/>
      <c r="P420" s="275"/>
      <c r="Q420" s="258"/>
      <c r="R420" s="274"/>
      <c r="S420" s="291"/>
      <c r="T420" s="290"/>
    </row>
    <row r="421" spans="3:20" ht="15.75">
      <c r="C421" s="325"/>
      <c r="D421" s="68"/>
      <c r="E421" s="165">
        <f>F420</f>
        <v>1.5</v>
      </c>
      <c r="F421" s="165">
        <f>F420</f>
        <v>1.5</v>
      </c>
      <c r="G421" s="275">
        <f>F421*E421</f>
        <v>2.25</v>
      </c>
      <c r="H421" s="258">
        <v>4</v>
      </c>
      <c r="I421" s="274">
        <f>H421*G421</f>
        <v>9</v>
      </c>
      <c r="J421" s="276">
        <f>SUM(I420:I421)</f>
        <v>159</v>
      </c>
      <c r="K421" s="281">
        <f>J421</f>
        <v>159</v>
      </c>
      <c r="L421" s="292"/>
      <c r="M421" s="266"/>
      <c r="N421" s="165"/>
      <c r="O421" s="165"/>
      <c r="P421" s="275"/>
      <c r="Q421" s="258"/>
      <c r="R421" s="274"/>
      <c r="S421" s="291"/>
      <c r="T421" s="290"/>
    </row>
    <row r="422" spans="3:20" ht="15.75">
      <c r="C422" s="292"/>
      <c r="D422" s="266"/>
      <c r="E422" s="165"/>
      <c r="F422" s="165"/>
      <c r="G422" s="275"/>
      <c r="H422" s="258"/>
      <c r="I422" s="274"/>
      <c r="J422" s="417"/>
      <c r="K422" s="282"/>
      <c r="L422" s="292"/>
      <c r="M422" s="266"/>
      <c r="N422" s="165"/>
      <c r="O422" s="165"/>
      <c r="P422" s="275"/>
      <c r="Q422" s="258"/>
      <c r="R422" s="274"/>
      <c r="S422" s="291"/>
      <c r="T422" s="290"/>
    </row>
    <row r="423" spans="3:20" ht="15.75">
      <c r="C423" s="292"/>
      <c r="D423" s="266"/>
      <c r="E423" s="165"/>
      <c r="F423" s="165"/>
      <c r="G423" s="275"/>
      <c r="H423" s="258"/>
      <c r="I423" s="274"/>
      <c r="J423" s="417"/>
      <c r="K423" s="282"/>
      <c r="L423" s="292"/>
      <c r="M423" s="266"/>
      <c r="N423" s="165"/>
      <c r="O423" s="165"/>
      <c r="P423" s="275"/>
      <c r="Q423" s="258"/>
      <c r="R423" s="274"/>
      <c r="S423" s="291"/>
      <c r="T423" s="290"/>
    </row>
    <row r="424" spans="3:20" ht="15.75">
      <c r="C424" s="461"/>
      <c r="D424" s="462"/>
      <c r="E424" s="230"/>
      <c r="F424" s="230"/>
      <c r="G424" s="427"/>
      <c r="H424" s="428"/>
      <c r="I424" s="429"/>
      <c r="J424" s="463"/>
      <c r="K424" s="464"/>
      <c r="L424" s="292"/>
      <c r="M424" s="266"/>
      <c r="N424" s="165"/>
      <c r="O424" s="165"/>
      <c r="P424" s="275"/>
      <c r="Q424" s="258"/>
      <c r="R424" s="274"/>
      <c r="S424" s="291"/>
      <c r="T424" s="290"/>
    </row>
    <row r="425" spans="3:20" ht="15.75">
      <c r="C425" s="467" t="s">
        <v>365</v>
      </c>
      <c r="D425" s="468"/>
      <c r="E425" s="232" t="s">
        <v>509</v>
      </c>
      <c r="F425" s="232" t="s">
        <v>304</v>
      </c>
      <c r="G425" s="419" t="s">
        <v>302</v>
      </c>
      <c r="H425" s="247" t="s">
        <v>525</v>
      </c>
      <c r="I425" s="421"/>
      <c r="J425" s="469"/>
      <c r="K425" s="470"/>
      <c r="L425" s="292"/>
      <c r="M425" s="266"/>
      <c r="N425" s="165"/>
      <c r="O425" s="165"/>
      <c r="P425" s="275"/>
      <c r="Q425" s="258"/>
      <c r="R425" s="274"/>
      <c r="S425" s="291"/>
      <c r="T425" s="290"/>
    </row>
    <row r="426" spans="3:20" ht="15.75">
      <c r="C426" s="284" t="s">
        <v>444</v>
      </c>
      <c r="D426" s="228"/>
      <c r="E426" s="231">
        <f>K417</f>
        <v>380.145</v>
      </c>
      <c r="F426" s="231">
        <f>K416</f>
        <v>98.09199999999998</v>
      </c>
      <c r="G426" s="465">
        <f>K421</f>
        <v>159</v>
      </c>
      <c r="H426" s="370">
        <f>K382</f>
        <v>0</v>
      </c>
      <c r="I426" s="466"/>
      <c r="J426" s="417"/>
      <c r="K426" s="282"/>
      <c r="L426" s="292"/>
      <c r="M426" s="266"/>
      <c r="N426" s="165"/>
      <c r="O426" s="165"/>
      <c r="P426" s="275"/>
      <c r="Q426" s="258"/>
      <c r="R426" s="274"/>
      <c r="S426" s="291"/>
      <c r="T426" s="290"/>
    </row>
    <row r="427" spans="3:20" ht="15.75">
      <c r="C427" s="284"/>
      <c r="D427" s="228"/>
      <c r="E427" s="231"/>
      <c r="F427" s="231"/>
      <c r="G427" s="465"/>
      <c r="H427" s="417"/>
      <c r="I427" s="466"/>
      <c r="J427" s="417"/>
      <c r="K427" s="282"/>
      <c r="L427" s="292"/>
      <c r="M427" s="266"/>
      <c r="N427" s="165"/>
      <c r="O427" s="165"/>
      <c r="P427" s="275"/>
      <c r="Q427" s="258"/>
      <c r="R427" s="274"/>
      <c r="S427" s="291"/>
      <c r="T427" s="290"/>
    </row>
    <row r="428" spans="3:20" ht="15.75">
      <c r="C428" s="284"/>
      <c r="D428" s="228"/>
      <c r="E428" s="466"/>
      <c r="F428" s="466"/>
      <c r="G428" s="465"/>
      <c r="H428" s="228"/>
      <c r="I428" s="466"/>
      <c r="J428" s="370"/>
      <c r="K428" s="436"/>
      <c r="L428" s="263"/>
      <c r="M428" s="258"/>
      <c r="N428" s="274"/>
      <c r="O428" s="274"/>
      <c r="P428" s="275"/>
      <c r="Q428" s="258"/>
      <c r="R428" s="274"/>
      <c r="S428" s="291"/>
      <c r="T428" s="290"/>
    </row>
    <row r="429" spans="3:20" ht="16.5" thickBot="1">
      <c r="C429" s="293"/>
      <c r="D429" s="286"/>
      <c r="E429" s="170"/>
      <c r="F429" s="170"/>
      <c r="G429" s="289"/>
      <c r="H429" s="286"/>
      <c r="I429" s="287"/>
      <c r="J429" s="170"/>
      <c r="K429" s="243"/>
      <c r="L429" s="285"/>
      <c r="M429" s="286"/>
      <c r="N429" s="288"/>
      <c r="O429" s="288"/>
      <c r="P429" s="289"/>
      <c r="Q429" s="286"/>
      <c r="R429" s="287"/>
      <c r="S429" s="294"/>
      <c r="T429" s="295"/>
    </row>
    <row r="430" spans="3:20" ht="16.5" thickTop="1">
      <c r="C430" s="296"/>
      <c r="D430" s="297"/>
      <c r="E430" s="298"/>
      <c r="F430" s="298"/>
      <c r="G430" s="299"/>
      <c r="H430" s="297"/>
      <c r="I430" s="299"/>
      <c r="J430" s="300"/>
      <c r="K430" s="301"/>
      <c r="L430" s="296"/>
      <c r="M430" s="297"/>
      <c r="N430" s="298"/>
      <c r="O430" s="298"/>
      <c r="P430" s="299"/>
      <c r="Q430" s="297"/>
      <c r="R430" s="299"/>
      <c r="S430" s="300"/>
      <c r="T430" s="301"/>
    </row>
    <row r="433" spans="2:11" ht="16.5" thickBot="1">
      <c r="B433" s="435"/>
      <c r="C433" s="502" t="s">
        <v>388</v>
      </c>
      <c r="D433" s="302"/>
      <c r="E433" s="302"/>
      <c r="F433" s="302"/>
      <c r="G433" s="303"/>
      <c r="H433" s="303"/>
      <c r="I433" s="303"/>
      <c r="J433" s="303"/>
      <c r="K433" s="303"/>
    </row>
    <row r="434" spans="2:20" ht="16.5" thickTop="1">
      <c r="B434" s="435">
        <v>39281</v>
      </c>
      <c r="C434" s="304"/>
      <c r="D434" s="1100" t="s">
        <v>319</v>
      </c>
      <c r="E434" s="1101"/>
      <c r="F434" s="1101"/>
      <c r="G434" s="1102" t="s">
        <v>272</v>
      </c>
      <c r="H434" s="1103"/>
      <c r="I434" s="1103"/>
      <c r="J434" s="1103"/>
      <c r="K434" s="305"/>
      <c r="L434" s="125"/>
      <c r="M434" s="1067" t="s">
        <v>319</v>
      </c>
      <c r="N434" s="1068"/>
      <c r="O434" s="1081"/>
      <c r="P434" s="1103" t="s">
        <v>272</v>
      </c>
      <c r="Q434" s="1103"/>
      <c r="R434" s="1103"/>
      <c r="S434" s="1103"/>
      <c r="T434" s="305"/>
    </row>
    <row r="435" spans="3:20" ht="15.75">
      <c r="C435" s="306" t="s">
        <v>323</v>
      </c>
      <c r="D435" s="307"/>
      <c r="E435" s="210" t="s">
        <v>324</v>
      </c>
      <c r="F435" s="209" t="s">
        <v>188</v>
      </c>
      <c r="G435" s="238" t="s">
        <v>326</v>
      </c>
      <c r="H435" s="238" t="s">
        <v>327</v>
      </c>
      <c r="I435" s="308" t="s">
        <v>328</v>
      </c>
      <c r="J435" s="1104" t="s">
        <v>328</v>
      </c>
      <c r="K435" s="1105"/>
      <c r="L435" s="67" t="s">
        <v>323</v>
      </c>
      <c r="M435" s="70"/>
      <c r="N435" s="211" t="s">
        <v>324</v>
      </c>
      <c r="O435" s="211" t="s">
        <v>188</v>
      </c>
      <c r="P435" s="309" t="s">
        <v>326</v>
      </c>
      <c r="Q435" s="238" t="s">
        <v>327</v>
      </c>
      <c r="R435" s="308" t="s">
        <v>328</v>
      </c>
      <c r="S435" s="1104" t="s">
        <v>328</v>
      </c>
      <c r="T435" s="1105"/>
    </row>
    <row r="436" spans="3:20" ht="16.5" thickBot="1">
      <c r="C436" s="310"/>
      <c r="D436" s="311"/>
      <c r="E436" s="311" t="s">
        <v>335</v>
      </c>
      <c r="F436" s="312" t="s">
        <v>335</v>
      </c>
      <c r="G436" s="251">
        <v>1</v>
      </c>
      <c r="H436" s="251" t="s">
        <v>326</v>
      </c>
      <c r="I436" s="313" t="s">
        <v>389</v>
      </c>
      <c r="J436" s="314"/>
      <c r="K436" s="315"/>
      <c r="L436" s="72"/>
      <c r="M436" s="250"/>
      <c r="N436" s="250" t="s">
        <v>335</v>
      </c>
      <c r="O436" s="250" t="s">
        <v>335</v>
      </c>
      <c r="P436" s="316">
        <v>1</v>
      </c>
      <c r="Q436" s="251" t="s">
        <v>326</v>
      </c>
      <c r="R436" s="313" t="s">
        <v>389</v>
      </c>
      <c r="S436" s="314" t="s">
        <v>336</v>
      </c>
      <c r="T436" s="315"/>
    </row>
    <row r="437" spans="3:20" ht="16.5" thickTop="1">
      <c r="C437" s="317" t="s">
        <v>261</v>
      </c>
      <c r="D437" s="318" t="s">
        <v>262</v>
      </c>
      <c r="E437" s="319" t="s">
        <v>263</v>
      </c>
      <c r="F437" s="320" t="s">
        <v>264</v>
      </c>
      <c r="G437" s="319" t="s">
        <v>384</v>
      </c>
      <c r="H437" s="319" t="s">
        <v>266</v>
      </c>
      <c r="I437" s="320" t="s">
        <v>373</v>
      </c>
      <c r="J437" s="320" t="s">
        <v>390</v>
      </c>
      <c r="K437" s="321"/>
      <c r="L437" s="317" t="s">
        <v>261</v>
      </c>
      <c r="M437" s="322" t="s">
        <v>262</v>
      </c>
      <c r="N437" s="319" t="s">
        <v>263</v>
      </c>
      <c r="O437" s="319" t="s">
        <v>264</v>
      </c>
      <c r="P437" s="323" t="s">
        <v>384</v>
      </c>
      <c r="Q437" s="319" t="s">
        <v>266</v>
      </c>
      <c r="R437" s="320" t="s">
        <v>373</v>
      </c>
      <c r="S437" s="320" t="s">
        <v>390</v>
      </c>
      <c r="T437" s="321"/>
    </row>
    <row r="438" spans="3:20" ht="15.75">
      <c r="C438" s="69"/>
      <c r="D438" s="66"/>
      <c r="E438" s="165"/>
      <c r="F438" s="75"/>
      <c r="G438" s="165"/>
      <c r="H438" s="165"/>
      <c r="I438" s="75"/>
      <c r="J438" s="75"/>
      <c r="K438" s="346"/>
      <c r="L438" s="69"/>
      <c r="M438" s="66"/>
      <c r="N438" s="165"/>
      <c r="O438" s="75"/>
      <c r="P438" s="443"/>
      <c r="Q438" s="165"/>
      <c r="R438" s="75"/>
      <c r="S438" s="75"/>
      <c r="T438" s="346"/>
    </row>
    <row r="439" spans="3:20" ht="15.75">
      <c r="C439" s="494" t="s">
        <v>471</v>
      </c>
      <c r="D439" s="66" t="s">
        <v>590</v>
      </c>
      <c r="E439" s="165"/>
      <c r="F439" s="75"/>
      <c r="G439" s="165"/>
      <c r="H439" s="165"/>
      <c r="I439" s="75"/>
      <c r="J439" s="75"/>
      <c r="K439" s="346"/>
      <c r="L439" s="500" t="s">
        <v>448</v>
      </c>
      <c r="M439" s="63"/>
      <c r="N439" s="97"/>
      <c r="O439" s="98"/>
      <c r="P439" s="97"/>
      <c r="Q439" s="97"/>
      <c r="R439" s="98"/>
      <c r="S439" s="97"/>
      <c r="T439" s="99"/>
    </row>
    <row r="440" spans="3:20" ht="15.75">
      <c r="C440" s="69" t="s">
        <v>526</v>
      </c>
      <c r="D440" s="66">
        <f>2.1*2+2.06</f>
        <v>6.26</v>
      </c>
      <c r="E440" s="165">
        <v>0.15</v>
      </c>
      <c r="F440" s="75">
        <v>0.5</v>
      </c>
      <c r="G440" s="165">
        <f>F440*E440*D440</f>
        <v>0.4695</v>
      </c>
      <c r="H440" s="258">
        <v>1</v>
      </c>
      <c r="I440" s="75">
        <f aca="true" t="shared" si="34" ref="I440:I450">H440*G440</f>
        <v>0.4695</v>
      </c>
      <c r="J440" s="75">
        <f>I440</f>
        <v>0.4695</v>
      </c>
      <c r="K440" s="346"/>
      <c r="L440" s="69" t="s">
        <v>392</v>
      </c>
      <c r="M440" s="63"/>
      <c r="N440" s="97">
        <f>2.88*2</f>
        <v>5.76</v>
      </c>
      <c r="O440" s="98">
        <f>1.94*3</f>
        <v>5.82</v>
      </c>
      <c r="P440" s="97">
        <f>N440+O440</f>
        <v>11.58</v>
      </c>
      <c r="Q440" s="258">
        <v>1</v>
      </c>
      <c r="R440" s="98">
        <f>Q440*P440</f>
        <v>11.58</v>
      </c>
      <c r="S440" s="97">
        <f>R440</f>
        <v>11.58</v>
      </c>
      <c r="T440" s="99"/>
    </row>
    <row r="441" spans="3:20" ht="15.75">
      <c r="C441" s="69" t="s">
        <v>616</v>
      </c>
      <c r="D441" s="66"/>
      <c r="E441" s="165">
        <f>0.5+0.15*2+0.35</f>
        <v>1.15</v>
      </c>
      <c r="F441" s="75">
        <f>D440</f>
        <v>6.26</v>
      </c>
      <c r="G441" s="165">
        <f>F441*E441</f>
        <v>7.198999999999999</v>
      </c>
      <c r="H441" s="258">
        <v>1</v>
      </c>
      <c r="I441" s="75">
        <f t="shared" si="34"/>
        <v>7.198999999999999</v>
      </c>
      <c r="J441" s="75">
        <f aca="true" t="shared" si="35" ref="J441:J447">I441</f>
        <v>7.198999999999999</v>
      </c>
      <c r="K441" s="346"/>
      <c r="L441" s="284" t="s">
        <v>606</v>
      </c>
      <c r="N441" s="97">
        <v>2.2</v>
      </c>
      <c r="O441" s="98">
        <v>1.94</v>
      </c>
      <c r="P441" s="97">
        <f>O441+N441</f>
        <v>4.140000000000001</v>
      </c>
      <c r="Q441" s="258">
        <v>1</v>
      </c>
      <c r="R441" s="98">
        <f>Q441*P441</f>
        <v>4.140000000000001</v>
      </c>
      <c r="S441" s="97">
        <f>R441</f>
        <v>4.140000000000001</v>
      </c>
      <c r="T441" s="99"/>
    </row>
    <row r="442" spans="3:20" ht="15.75">
      <c r="C442" s="69" t="s">
        <v>591</v>
      </c>
      <c r="D442" s="66" t="s">
        <v>592</v>
      </c>
      <c r="E442" s="165">
        <f>2.06*2</f>
        <v>4.12</v>
      </c>
      <c r="F442" s="75">
        <f>0.6*3</f>
        <v>1.7999999999999998</v>
      </c>
      <c r="G442" s="165">
        <f>F442+E442</f>
        <v>5.92</v>
      </c>
      <c r="H442" s="258">
        <v>1</v>
      </c>
      <c r="I442" s="75">
        <f t="shared" si="34"/>
        <v>5.92</v>
      </c>
      <c r="J442" s="75">
        <f t="shared" si="35"/>
        <v>5.92</v>
      </c>
      <c r="K442" s="346"/>
      <c r="L442" s="284" t="s">
        <v>605</v>
      </c>
      <c r="N442" s="97">
        <v>0.93</v>
      </c>
      <c r="O442" s="98">
        <v>0.6</v>
      </c>
      <c r="P442" s="97">
        <f>O442+N442</f>
        <v>1.53</v>
      </c>
      <c r="Q442" s="258">
        <v>2</v>
      </c>
      <c r="R442" s="98">
        <f>Q442*P442</f>
        <v>3.06</v>
      </c>
      <c r="S442" s="97">
        <f>R442</f>
        <v>3.06</v>
      </c>
      <c r="T442" s="99"/>
    </row>
    <row r="443" spans="3:20" ht="15.75">
      <c r="C443" s="325" t="s">
        <v>593</v>
      </c>
      <c r="D443" s="66"/>
      <c r="E443" s="165">
        <v>0.97</v>
      </c>
      <c r="F443" s="75">
        <v>0.6</v>
      </c>
      <c r="G443" s="165">
        <f>F443*E443</f>
        <v>0.582</v>
      </c>
      <c r="H443" s="258">
        <v>2</v>
      </c>
      <c r="I443" s="75">
        <f t="shared" si="34"/>
        <v>1.164</v>
      </c>
      <c r="J443" s="75">
        <f t="shared" si="35"/>
        <v>1.164</v>
      </c>
      <c r="K443" s="346"/>
      <c r="L443" s="284" t="s">
        <v>393</v>
      </c>
      <c r="N443" s="97">
        <v>2.84</v>
      </c>
      <c r="O443" s="98">
        <v>1.94</v>
      </c>
      <c r="P443" s="97">
        <f>N443*O443</f>
        <v>5.5096</v>
      </c>
      <c r="Q443" s="258">
        <v>1</v>
      </c>
      <c r="R443" s="98">
        <f>Q443*P443</f>
        <v>5.5096</v>
      </c>
      <c r="S443" s="97">
        <f>R443</f>
        <v>5.5096</v>
      </c>
      <c r="T443" s="99"/>
    </row>
    <row r="444" spans="3:20" ht="15.75">
      <c r="C444" s="325" t="s">
        <v>527</v>
      </c>
      <c r="D444" s="66"/>
      <c r="E444" s="165">
        <v>2.1</v>
      </c>
      <c r="F444" s="75">
        <f>1.68/2</f>
        <v>0.84</v>
      </c>
      <c r="G444" s="165">
        <f>F444*E444</f>
        <v>1.764</v>
      </c>
      <c r="H444" s="258">
        <v>2</v>
      </c>
      <c r="I444" s="75">
        <f t="shared" si="34"/>
        <v>3.528</v>
      </c>
      <c r="J444" s="75">
        <f t="shared" si="35"/>
        <v>3.528</v>
      </c>
      <c r="K444" s="346"/>
      <c r="L444" s="284" t="s">
        <v>395</v>
      </c>
      <c r="N444" s="97">
        <f>0.12*0.2</f>
        <v>0.024</v>
      </c>
      <c r="O444" s="98">
        <v>2</v>
      </c>
      <c r="P444" s="97">
        <f>N444*O444*2</f>
        <v>0.096</v>
      </c>
      <c r="Q444" s="258">
        <v>1</v>
      </c>
      <c r="R444" s="98">
        <f>Q444*P444</f>
        <v>0.096</v>
      </c>
      <c r="S444" s="97">
        <f>R444</f>
        <v>0.096</v>
      </c>
      <c r="T444" s="99"/>
    </row>
    <row r="445" spans="3:20" ht="15.75">
      <c r="C445" s="325" t="s">
        <v>528</v>
      </c>
      <c r="D445" s="66"/>
      <c r="E445" s="258">
        <v>1</v>
      </c>
      <c r="F445" s="258">
        <v>1</v>
      </c>
      <c r="G445" s="258">
        <f>F445*E445</f>
        <v>1</v>
      </c>
      <c r="H445" s="258">
        <v>2</v>
      </c>
      <c r="I445" s="258">
        <f t="shared" si="34"/>
        <v>2</v>
      </c>
      <c r="J445" s="258">
        <f t="shared" si="35"/>
        <v>2</v>
      </c>
      <c r="K445" s="346"/>
      <c r="L445" s="284"/>
      <c r="N445" s="97"/>
      <c r="O445" s="98"/>
      <c r="P445" s="97"/>
      <c r="Q445" s="258"/>
      <c r="R445" s="98"/>
      <c r="S445" s="97"/>
      <c r="T445" s="99"/>
    </row>
    <row r="446" spans="3:20" ht="15.75">
      <c r="C446" s="325" t="s">
        <v>529</v>
      </c>
      <c r="D446" s="66"/>
      <c r="E446" s="258">
        <v>1</v>
      </c>
      <c r="F446" s="258">
        <v>2</v>
      </c>
      <c r="G446" s="258">
        <f>F446*E446</f>
        <v>2</v>
      </c>
      <c r="H446" s="258">
        <v>2</v>
      </c>
      <c r="I446" s="258">
        <f t="shared" si="34"/>
        <v>4</v>
      </c>
      <c r="J446" s="258">
        <f t="shared" si="35"/>
        <v>4</v>
      </c>
      <c r="K446" s="346"/>
      <c r="L446" s="284"/>
      <c r="N446" s="97"/>
      <c r="O446" s="98"/>
      <c r="P446" s="97"/>
      <c r="Q446" s="258"/>
      <c r="R446" s="98"/>
      <c r="S446" s="97"/>
      <c r="T446" s="99"/>
    </row>
    <row r="447" spans="3:20" ht="15.75">
      <c r="C447" s="69" t="s">
        <v>530</v>
      </c>
      <c r="D447" s="66"/>
      <c r="E447" s="258">
        <v>1</v>
      </c>
      <c r="F447" s="258">
        <v>1</v>
      </c>
      <c r="G447" s="258">
        <v>1</v>
      </c>
      <c r="H447" s="258">
        <v>1</v>
      </c>
      <c r="I447" s="258">
        <f t="shared" si="34"/>
        <v>1</v>
      </c>
      <c r="J447" s="258">
        <f t="shared" si="35"/>
        <v>1</v>
      </c>
      <c r="K447" s="346"/>
      <c r="L447" s="284"/>
      <c r="N447" s="97"/>
      <c r="O447" s="98"/>
      <c r="P447" s="97"/>
      <c r="Q447" s="258"/>
      <c r="R447" s="98"/>
      <c r="S447" s="97"/>
      <c r="T447" s="99"/>
    </row>
    <row r="448" spans="3:20" ht="15.75">
      <c r="C448" s="69" t="s">
        <v>531</v>
      </c>
      <c r="D448" s="66"/>
      <c r="E448" s="258">
        <v>0.68</v>
      </c>
      <c r="F448" s="492">
        <v>2.06</v>
      </c>
      <c r="G448" s="493">
        <f>F448*E448</f>
        <v>1.4008</v>
      </c>
      <c r="H448" s="258">
        <v>1</v>
      </c>
      <c r="I448" s="75">
        <f t="shared" si="34"/>
        <v>1.4008</v>
      </c>
      <c r="J448" s="492"/>
      <c r="K448" s="346"/>
      <c r="L448" s="284"/>
      <c r="N448" s="97"/>
      <c r="O448" s="98"/>
      <c r="P448" s="97"/>
      <c r="Q448" s="258"/>
      <c r="R448" s="98"/>
      <c r="S448" s="97"/>
      <c r="T448" s="99"/>
    </row>
    <row r="449" spans="3:20" ht="15.75">
      <c r="C449" s="69"/>
      <c r="D449" s="66"/>
      <c r="E449" s="165">
        <v>2.15</v>
      </c>
      <c r="F449" s="75">
        <v>2.06</v>
      </c>
      <c r="G449" s="165">
        <f>F449*E449</f>
        <v>4.429</v>
      </c>
      <c r="H449" s="258">
        <v>1</v>
      </c>
      <c r="I449" s="75">
        <f t="shared" si="34"/>
        <v>4.429</v>
      </c>
      <c r="J449" s="75">
        <f>SUM(I448:I449)</f>
        <v>5.8298000000000005</v>
      </c>
      <c r="K449" s="346"/>
      <c r="L449" s="284"/>
      <c r="N449" s="97"/>
      <c r="O449" s="98"/>
      <c r="P449" s="97"/>
      <c r="Q449" s="258"/>
      <c r="R449" s="98"/>
      <c r="S449" s="97"/>
      <c r="T449" s="99"/>
    </row>
    <row r="450" spans="3:20" ht="15.75">
      <c r="C450" s="69" t="s">
        <v>395</v>
      </c>
      <c r="D450" s="66"/>
      <c r="E450" s="165">
        <f>0.12*0.2</f>
        <v>0.024</v>
      </c>
      <c r="F450" s="75">
        <v>2.1</v>
      </c>
      <c r="G450" s="165">
        <f>F450*E450</f>
        <v>0.0504</v>
      </c>
      <c r="H450" s="258">
        <v>1</v>
      </c>
      <c r="I450" s="75">
        <f t="shared" si="34"/>
        <v>0.0504</v>
      </c>
      <c r="J450" s="75">
        <f>I450</f>
        <v>0.0504</v>
      </c>
      <c r="K450" s="346"/>
      <c r="L450" s="325"/>
      <c r="M450" s="90"/>
      <c r="N450" s="97"/>
      <c r="O450" s="98"/>
      <c r="P450" s="97"/>
      <c r="Q450" s="97"/>
      <c r="R450" s="98"/>
      <c r="S450" s="97"/>
      <c r="T450" s="99"/>
    </row>
    <row r="451" spans="3:20" ht="15.75">
      <c r="C451" s="69"/>
      <c r="D451" s="66"/>
      <c r="E451" s="165"/>
      <c r="F451" s="75"/>
      <c r="G451" s="165"/>
      <c r="H451" s="258"/>
      <c r="I451" s="75"/>
      <c r="J451" s="75"/>
      <c r="K451" s="346"/>
      <c r="L451" s="495"/>
      <c r="M451" s="496"/>
      <c r="N451" s="497"/>
      <c r="O451" s="498"/>
      <c r="P451" s="497"/>
      <c r="Q451" s="497"/>
      <c r="R451" s="136"/>
      <c r="S451" s="131"/>
      <c r="T451" s="233"/>
    </row>
    <row r="452" spans="3:20" ht="15.75">
      <c r="C452" s="64"/>
      <c r="D452" s="471"/>
      <c r="E452" s="230"/>
      <c r="F452" s="257"/>
      <c r="G452" s="230"/>
      <c r="H452" s="257"/>
      <c r="I452" s="257"/>
      <c r="J452" s="257"/>
      <c r="K452" s="352"/>
      <c r="L452" s="249"/>
      <c r="M452" s="265"/>
      <c r="N452" s="331"/>
      <c r="O452" s="332"/>
      <c r="P452" s="331"/>
      <c r="Q452" s="331"/>
      <c r="R452" s="98"/>
      <c r="S452" s="97"/>
      <c r="T452" s="99"/>
    </row>
    <row r="453" spans="3:20" ht="15.75">
      <c r="C453" s="494" t="s">
        <v>472</v>
      </c>
      <c r="D453" s="66"/>
      <c r="E453" s="165"/>
      <c r="F453" s="75"/>
      <c r="G453" s="165"/>
      <c r="H453" s="258"/>
      <c r="I453" s="75"/>
      <c r="J453" s="75"/>
      <c r="K453" s="346"/>
      <c r="L453" s="500" t="s">
        <v>535</v>
      </c>
      <c r="M453" s="265"/>
      <c r="N453" s="331"/>
      <c r="O453" s="332"/>
      <c r="P453" s="331"/>
      <c r="Q453" s="331"/>
      <c r="R453" s="98"/>
      <c r="S453" s="97"/>
      <c r="T453" s="99"/>
    </row>
    <row r="454" spans="3:20" ht="15.75">
      <c r="C454" s="69" t="s">
        <v>532</v>
      </c>
      <c r="D454" s="66"/>
      <c r="E454" s="165">
        <f>2.09*2</f>
        <v>4.18</v>
      </c>
      <c r="F454" s="75">
        <v>0.9</v>
      </c>
      <c r="G454" s="165">
        <f>F454*E454</f>
        <v>3.762</v>
      </c>
      <c r="H454" s="258">
        <v>1</v>
      </c>
      <c r="I454" s="75">
        <f>H454*G454</f>
        <v>3.762</v>
      </c>
      <c r="J454" s="75">
        <f>I454</f>
        <v>3.762</v>
      </c>
      <c r="K454" s="346"/>
      <c r="L454" s="69" t="s">
        <v>392</v>
      </c>
      <c r="M454" t="s">
        <v>396</v>
      </c>
      <c r="N454" s="97">
        <f>2.93*2</f>
        <v>5.86</v>
      </c>
      <c r="O454" s="98">
        <f>1.24*3</f>
        <v>3.7199999999999998</v>
      </c>
      <c r="P454" s="97">
        <f>N454+O454</f>
        <v>9.58</v>
      </c>
      <c r="Q454" s="258">
        <v>1</v>
      </c>
      <c r="R454" s="98">
        <f>Q454*P454</f>
        <v>9.58</v>
      </c>
      <c r="S454" s="97">
        <f>R454</f>
        <v>9.58</v>
      </c>
      <c r="T454" s="99"/>
    </row>
    <row r="455" spans="3:20" ht="15.75">
      <c r="C455" s="325" t="s">
        <v>533</v>
      </c>
      <c r="D455" s="66"/>
      <c r="E455" s="258">
        <v>1</v>
      </c>
      <c r="F455" s="258">
        <v>1</v>
      </c>
      <c r="G455" s="258">
        <f>F455*E455</f>
        <v>1</v>
      </c>
      <c r="H455" s="258">
        <v>2</v>
      </c>
      <c r="I455" s="258">
        <f aca="true" t="shared" si="36" ref="I455:I460">H455*G455</f>
        <v>2</v>
      </c>
      <c r="J455" s="258">
        <f>I455</f>
        <v>2</v>
      </c>
      <c r="K455" s="346"/>
      <c r="L455" s="284" t="s">
        <v>606</v>
      </c>
      <c r="N455" s="97">
        <v>2.2</v>
      </c>
      <c r="O455" s="98">
        <v>1.16</v>
      </c>
      <c r="P455" s="97">
        <f>O455+N455</f>
        <v>3.3600000000000003</v>
      </c>
      <c r="Q455" s="258">
        <v>1</v>
      </c>
      <c r="R455" s="98">
        <f>Q455*P455</f>
        <v>3.3600000000000003</v>
      </c>
      <c r="S455" s="97">
        <f>R455</f>
        <v>3.3600000000000003</v>
      </c>
      <c r="T455" s="99"/>
    </row>
    <row r="456" spans="3:20" ht="15.75">
      <c r="C456" s="325" t="s">
        <v>74</v>
      </c>
      <c r="D456" s="66"/>
      <c r="E456" s="165">
        <f>2.04-0.16</f>
        <v>1.8800000000000001</v>
      </c>
      <c r="F456" s="75">
        <v>0.64</v>
      </c>
      <c r="G456" s="165">
        <f>F456*E456</f>
        <v>1.2032</v>
      </c>
      <c r="H456" s="258">
        <v>1</v>
      </c>
      <c r="I456" s="75">
        <f>H456*G456</f>
        <v>1.2032</v>
      </c>
      <c r="J456" s="75">
        <f>I456</f>
        <v>1.2032</v>
      </c>
      <c r="K456" s="346"/>
      <c r="L456" s="284" t="s">
        <v>605</v>
      </c>
      <c r="N456" s="97">
        <v>1.16</v>
      </c>
      <c r="O456" s="98">
        <v>0.6</v>
      </c>
      <c r="P456" s="97">
        <f>O456+N456</f>
        <v>1.7599999999999998</v>
      </c>
      <c r="Q456" s="258">
        <v>1</v>
      </c>
      <c r="R456" s="98">
        <f>Q456*P456</f>
        <v>1.7599999999999998</v>
      </c>
      <c r="S456" s="97">
        <f>R456</f>
        <v>1.7599999999999998</v>
      </c>
      <c r="T456" s="99"/>
    </row>
    <row r="457" spans="3:20" ht="15.75">
      <c r="C457" s="325" t="s">
        <v>395</v>
      </c>
      <c r="D457" s="66"/>
      <c r="E457" s="165">
        <f>0.12*0.2</f>
        <v>0.024</v>
      </c>
      <c r="F457" s="75">
        <v>1</v>
      </c>
      <c r="G457" s="165">
        <f>F457*E457</f>
        <v>0.024</v>
      </c>
      <c r="H457" s="258">
        <v>1</v>
      </c>
      <c r="I457" s="75">
        <f>H457*G457</f>
        <v>0.024</v>
      </c>
      <c r="J457" s="75">
        <f>I457</f>
        <v>0.024</v>
      </c>
      <c r="K457" s="346"/>
      <c r="L457" s="284" t="s">
        <v>393</v>
      </c>
      <c r="M457" s="333"/>
      <c r="N457" s="143">
        <v>2.93</v>
      </c>
      <c r="O457" s="139">
        <v>1.24</v>
      </c>
      <c r="P457" s="143">
        <f>N457+O457</f>
        <v>4.17</v>
      </c>
      <c r="Q457" s="143">
        <v>1</v>
      </c>
      <c r="R457" s="139">
        <f>Q457*P457</f>
        <v>4.17</v>
      </c>
      <c r="S457" s="97">
        <f>R457</f>
        <v>4.17</v>
      </c>
      <c r="T457" s="99"/>
    </row>
    <row r="458" spans="3:20" ht="15.75">
      <c r="C458" s="325" t="s">
        <v>531</v>
      </c>
      <c r="D458" s="66"/>
      <c r="E458" s="165">
        <v>2.1</v>
      </c>
      <c r="F458" s="75">
        <v>1</v>
      </c>
      <c r="G458" s="165">
        <f>F458*E458</f>
        <v>2.1</v>
      </c>
      <c r="H458" s="258">
        <v>1</v>
      </c>
      <c r="I458" s="75">
        <f>H458*G458</f>
        <v>2.1</v>
      </c>
      <c r="J458" s="75">
        <f>I458</f>
        <v>2.1</v>
      </c>
      <c r="K458" s="346"/>
      <c r="L458" s="284" t="s">
        <v>395</v>
      </c>
      <c r="M458" s="63"/>
      <c r="N458" s="97">
        <f>0.12*0.2</f>
        <v>0.024</v>
      </c>
      <c r="O458" s="98">
        <v>1.5</v>
      </c>
      <c r="P458" s="143">
        <f>N458*O458</f>
        <v>0.036000000000000004</v>
      </c>
      <c r="Q458" s="97">
        <v>2</v>
      </c>
      <c r="R458" s="98">
        <f>Q458*P458</f>
        <v>0.07200000000000001</v>
      </c>
      <c r="S458" s="97">
        <f>R458</f>
        <v>0.07200000000000001</v>
      </c>
      <c r="T458" s="99"/>
    </row>
    <row r="459" spans="3:20" ht="15.75">
      <c r="C459" s="325"/>
      <c r="D459" s="66"/>
      <c r="E459" s="165"/>
      <c r="F459" s="75"/>
      <c r="G459" s="165"/>
      <c r="H459" s="258"/>
      <c r="I459" s="75">
        <f t="shared" si="36"/>
        <v>0</v>
      </c>
      <c r="J459" s="75"/>
      <c r="K459" s="346"/>
      <c r="L459" s="327"/>
      <c r="M459" s="329"/>
      <c r="N459" s="131"/>
      <c r="O459" s="136"/>
      <c r="P459" s="131"/>
      <c r="Q459" s="420"/>
      <c r="R459" s="136"/>
      <c r="S459" s="131"/>
      <c r="T459" s="233"/>
    </row>
    <row r="460" spans="3:20" ht="15.75">
      <c r="C460" s="426"/>
      <c r="D460" s="471"/>
      <c r="E460" s="230"/>
      <c r="F460" s="257"/>
      <c r="G460" s="230"/>
      <c r="H460" s="428"/>
      <c r="I460" s="257">
        <f t="shared" si="36"/>
        <v>0</v>
      </c>
      <c r="J460" s="257"/>
      <c r="K460" s="352"/>
      <c r="L460" s="426"/>
      <c r="M460" s="324"/>
      <c r="N460" s="147"/>
      <c r="O460" s="145"/>
      <c r="P460" s="147"/>
      <c r="Q460" s="428"/>
      <c r="R460" s="145"/>
      <c r="S460" s="147"/>
      <c r="T460" s="254"/>
    </row>
    <row r="461" spans="3:20" ht="15.75">
      <c r="C461" s="494" t="s">
        <v>473</v>
      </c>
      <c r="D461" s="66"/>
      <c r="E461" s="165"/>
      <c r="F461" s="75"/>
      <c r="G461" s="165"/>
      <c r="H461" s="258"/>
      <c r="I461" s="75"/>
      <c r="J461" s="75"/>
      <c r="K461" s="346"/>
      <c r="L461" s="500" t="s">
        <v>537</v>
      </c>
      <c r="M461" s="265"/>
      <c r="N461" s="331"/>
      <c r="O461" s="332"/>
      <c r="P461" s="331"/>
      <c r="Q461" s="331"/>
      <c r="R461" s="98"/>
      <c r="S461" s="97"/>
      <c r="T461" s="346"/>
    </row>
    <row r="462" spans="3:20" ht="15.75">
      <c r="C462" s="69" t="s">
        <v>532</v>
      </c>
      <c r="D462" s="66"/>
      <c r="E462" s="165">
        <f>2.15*2</f>
        <v>4.3</v>
      </c>
      <c r="F462" s="75">
        <v>0.9</v>
      </c>
      <c r="G462" s="165">
        <f aca="true" t="shared" si="37" ref="G462:G468">F462*E462</f>
        <v>3.87</v>
      </c>
      <c r="H462" s="258">
        <v>1</v>
      </c>
      <c r="I462" s="75">
        <f aca="true" t="shared" si="38" ref="I462:I468">H462*G462</f>
        <v>3.87</v>
      </c>
      <c r="J462" s="75">
        <f aca="true" t="shared" si="39" ref="J462:J468">I462</f>
        <v>3.87</v>
      </c>
      <c r="K462" s="346"/>
      <c r="L462" s="69" t="s">
        <v>392</v>
      </c>
      <c r="M462" t="s">
        <v>396</v>
      </c>
      <c r="N462" s="97">
        <f>(1.02+0.48)*3</f>
        <v>4.5</v>
      </c>
      <c r="O462" s="98">
        <f>1.32*4</f>
        <v>5.28</v>
      </c>
      <c r="P462" s="97">
        <f>N462+O462</f>
        <v>9.780000000000001</v>
      </c>
      <c r="Q462" s="258">
        <v>1</v>
      </c>
      <c r="R462" s="98">
        <f aca="true" t="shared" si="40" ref="R462:R469">Q462*P462</f>
        <v>9.780000000000001</v>
      </c>
      <c r="S462" s="97">
        <f>R462</f>
        <v>9.780000000000001</v>
      </c>
      <c r="T462" s="346"/>
    </row>
    <row r="463" spans="3:20" ht="15.75">
      <c r="C463" s="325" t="s">
        <v>594</v>
      </c>
      <c r="D463" s="66"/>
      <c r="E463" s="258">
        <v>2.1</v>
      </c>
      <c r="F463" s="258">
        <v>0.8</v>
      </c>
      <c r="G463" s="258">
        <f t="shared" si="37"/>
        <v>1.6800000000000002</v>
      </c>
      <c r="H463" s="258">
        <v>1</v>
      </c>
      <c r="I463" s="258">
        <f t="shared" si="38"/>
        <v>1.6800000000000002</v>
      </c>
      <c r="J463" s="258">
        <f t="shared" si="39"/>
        <v>1.6800000000000002</v>
      </c>
      <c r="K463" s="346"/>
      <c r="L463" s="69" t="s">
        <v>536</v>
      </c>
      <c r="M463" t="s">
        <v>396</v>
      </c>
      <c r="N463" s="143"/>
      <c r="O463" s="139"/>
      <c r="P463" s="143">
        <v>1</v>
      </c>
      <c r="Q463" s="258">
        <v>2</v>
      </c>
      <c r="R463" s="139">
        <f t="shared" si="40"/>
        <v>2</v>
      </c>
      <c r="S463" s="97">
        <f>R463</f>
        <v>2</v>
      </c>
      <c r="T463" s="346"/>
    </row>
    <row r="464" spans="3:20" ht="15.75">
      <c r="C464" s="325" t="s">
        <v>530</v>
      </c>
      <c r="D464" s="66"/>
      <c r="E464" s="258">
        <v>1</v>
      </c>
      <c r="F464" s="258">
        <v>1</v>
      </c>
      <c r="G464" s="258">
        <f t="shared" si="37"/>
        <v>1</v>
      </c>
      <c r="H464" s="258">
        <v>1</v>
      </c>
      <c r="I464" s="258">
        <f t="shared" si="38"/>
        <v>1</v>
      </c>
      <c r="J464" s="258">
        <f t="shared" si="39"/>
        <v>1</v>
      </c>
      <c r="K464" s="346"/>
      <c r="L464" s="325" t="s">
        <v>534</v>
      </c>
      <c r="N464" s="143"/>
      <c r="O464" s="139"/>
      <c r="P464" s="143">
        <v>1</v>
      </c>
      <c r="Q464" s="258">
        <v>2</v>
      </c>
      <c r="R464" s="139">
        <f t="shared" si="40"/>
        <v>2</v>
      </c>
      <c r="S464" s="97">
        <f>R464</f>
        <v>2</v>
      </c>
      <c r="T464" s="346"/>
    </row>
    <row r="465" spans="3:20" ht="15.75">
      <c r="C465" s="325" t="s">
        <v>599</v>
      </c>
      <c r="D465" s="66"/>
      <c r="E465" s="258">
        <v>3</v>
      </c>
      <c r="F465" s="258">
        <v>1</v>
      </c>
      <c r="G465" s="258">
        <f t="shared" si="37"/>
        <v>3</v>
      </c>
      <c r="H465" s="258">
        <v>1</v>
      </c>
      <c r="I465" s="258">
        <f t="shared" si="38"/>
        <v>3</v>
      </c>
      <c r="J465" s="258">
        <f t="shared" si="39"/>
        <v>3</v>
      </c>
      <c r="K465" s="346"/>
      <c r="L465" s="325" t="s">
        <v>607</v>
      </c>
      <c r="N465" s="143">
        <f>1.02-0.16</f>
        <v>0.86</v>
      </c>
      <c r="O465" s="139">
        <f>0.58-0.16</f>
        <v>0.41999999999999993</v>
      </c>
      <c r="P465" s="143">
        <f>O465*N465</f>
        <v>0.3611999999999999</v>
      </c>
      <c r="Q465" s="258">
        <v>2</v>
      </c>
      <c r="R465" s="139">
        <f t="shared" si="40"/>
        <v>0.7223999999999998</v>
      </c>
      <c r="S465" s="97"/>
      <c r="T465" s="346"/>
    </row>
    <row r="466" spans="3:20" ht="15.75">
      <c r="C466" s="325" t="s">
        <v>595</v>
      </c>
      <c r="D466" s="66"/>
      <c r="E466" s="165">
        <f>G463</f>
        <v>1.6800000000000002</v>
      </c>
      <c r="F466" s="75">
        <v>2</v>
      </c>
      <c r="G466" s="165">
        <f t="shared" si="37"/>
        <v>3.3600000000000003</v>
      </c>
      <c r="H466" s="258">
        <v>1</v>
      </c>
      <c r="I466" s="75">
        <f t="shared" si="38"/>
        <v>3.3600000000000003</v>
      </c>
      <c r="J466" s="75">
        <f t="shared" si="39"/>
        <v>3.3600000000000003</v>
      </c>
      <c r="K466" s="346"/>
      <c r="L466" s="325"/>
      <c r="N466" s="143">
        <f>0.32-0.16</f>
        <v>0.16</v>
      </c>
      <c r="O466" s="139">
        <f>0.58-0.16</f>
        <v>0.41999999999999993</v>
      </c>
      <c r="P466" s="143">
        <f>N466*O466</f>
        <v>0.0672</v>
      </c>
      <c r="Q466" s="258">
        <v>2</v>
      </c>
      <c r="R466" s="139">
        <f t="shared" si="40"/>
        <v>0.1344</v>
      </c>
      <c r="S466" s="97">
        <f>SUM(R465:R466)</f>
        <v>0.8567999999999998</v>
      </c>
      <c r="T466" s="346"/>
    </row>
    <row r="467" spans="3:20" ht="15.75">
      <c r="C467" s="325" t="s">
        <v>395</v>
      </c>
      <c r="D467" s="66"/>
      <c r="E467" s="165">
        <f>0.12*0.2</f>
        <v>0.024</v>
      </c>
      <c r="F467" s="75">
        <v>1</v>
      </c>
      <c r="G467" s="165">
        <f t="shared" si="37"/>
        <v>0.024</v>
      </c>
      <c r="H467" s="258">
        <v>1</v>
      </c>
      <c r="I467" s="75">
        <f t="shared" si="38"/>
        <v>0.024</v>
      </c>
      <c r="J467" s="75">
        <f t="shared" si="39"/>
        <v>0.024</v>
      </c>
      <c r="K467" s="346"/>
      <c r="L467" s="284" t="s">
        <v>393</v>
      </c>
      <c r="M467" s="333"/>
      <c r="N467" s="143">
        <f>1.02+0.48</f>
        <v>1.5</v>
      </c>
      <c r="O467" s="139">
        <v>1.32</v>
      </c>
      <c r="P467" s="143">
        <f>N467+O467</f>
        <v>2.8200000000000003</v>
      </c>
      <c r="Q467" s="258">
        <v>1</v>
      </c>
      <c r="R467" s="139">
        <f t="shared" si="40"/>
        <v>2.8200000000000003</v>
      </c>
      <c r="S467" s="97">
        <f>R467</f>
        <v>2.8200000000000003</v>
      </c>
      <c r="T467" s="346"/>
    </row>
    <row r="468" spans="3:20" ht="15.75">
      <c r="C468" s="325" t="s">
        <v>531</v>
      </c>
      <c r="D468" s="66"/>
      <c r="E468" s="165">
        <v>2.1</v>
      </c>
      <c r="F468" s="75">
        <v>1</v>
      </c>
      <c r="G468" s="165">
        <f t="shared" si="37"/>
        <v>2.1</v>
      </c>
      <c r="H468" s="258">
        <v>1</v>
      </c>
      <c r="I468" s="75">
        <f t="shared" si="38"/>
        <v>2.1</v>
      </c>
      <c r="J468" s="75">
        <f t="shared" si="39"/>
        <v>2.1</v>
      </c>
      <c r="K468" s="346"/>
      <c r="L468" s="284" t="s">
        <v>395</v>
      </c>
      <c r="M468" s="63"/>
      <c r="N468" s="97">
        <f>0.12*0.2</f>
        <v>0.024</v>
      </c>
      <c r="O468" s="98">
        <v>1.5</v>
      </c>
      <c r="P468" s="143">
        <f>N468*O468</f>
        <v>0.036000000000000004</v>
      </c>
      <c r="Q468" s="258">
        <v>2</v>
      </c>
      <c r="R468" s="98">
        <f t="shared" si="40"/>
        <v>0.07200000000000001</v>
      </c>
      <c r="S468" s="97">
        <f>R468</f>
        <v>0.07200000000000001</v>
      </c>
      <c r="T468" s="346"/>
    </row>
    <row r="469" spans="3:20" ht="15.75">
      <c r="C469" s="325"/>
      <c r="D469" s="66"/>
      <c r="E469" s="165"/>
      <c r="F469" s="75"/>
      <c r="G469" s="165"/>
      <c r="H469" s="75"/>
      <c r="I469" s="75"/>
      <c r="J469" s="75"/>
      <c r="K469" s="346"/>
      <c r="L469" s="325" t="s">
        <v>394</v>
      </c>
      <c r="M469">
        <v>0.1</v>
      </c>
      <c r="N469" s="97">
        <v>0.5</v>
      </c>
      <c r="O469" s="98">
        <f>1.32</f>
        <v>1.32</v>
      </c>
      <c r="P469" s="97">
        <f>O469*N469*M469</f>
        <v>0.066</v>
      </c>
      <c r="Q469" s="258">
        <v>1</v>
      </c>
      <c r="R469" s="98">
        <f t="shared" si="40"/>
        <v>0.066</v>
      </c>
      <c r="S469" s="97">
        <f>R469</f>
        <v>0.066</v>
      </c>
      <c r="T469" s="346"/>
    </row>
    <row r="470" spans="3:20" ht="15.75">
      <c r="C470" s="327"/>
      <c r="D470" s="472"/>
      <c r="E470" s="232"/>
      <c r="F470" s="473"/>
      <c r="G470" s="232"/>
      <c r="H470" s="473"/>
      <c r="I470" s="473"/>
      <c r="J470" s="473"/>
      <c r="K470" s="368"/>
      <c r="L470" s="327"/>
      <c r="M470" s="329"/>
      <c r="N470" s="131"/>
      <c r="O470" s="136"/>
      <c r="P470" s="131"/>
      <c r="Q470" s="420"/>
      <c r="R470" s="136"/>
      <c r="S470" s="136"/>
      <c r="T470" s="368"/>
    </row>
    <row r="471" spans="3:20" ht="15.75">
      <c r="C471" s="426"/>
      <c r="D471" s="471"/>
      <c r="E471" s="230"/>
      <c r="F471" s="257"/>
      <c r="G471" s="230"/>
      <c r="H471" s="257"/>
      <c r="I471" s="257"/>
      <c r="J471" s="257"/>
      <c r="K471" s="352"/>
      <c r="L471" s="325"/>
      <c r="M471" s="63"/>
      <c r="N471" s="97"/>
      <c r="O471" s="98"/>
      <c r="P471" s="97"/>
      <c r="Q471" s="258"/>
      <c r="R471" s="98"/>
      <c r="S471" s="98"/>
      <c r="T471" s="346"/>
    </row>
    <row r="472" spans="3:20" ht="15.75">
      <c r="C472" s="494" t="s">
        <v>474</v>
      </c>
      <c r="D472" s="66"/>
      <c r="E472" s="165"/>
      <c r="F472" s="75"/>
      <c r="G472" s="165"/>
      <c r="H472" s="75"/>
      <c r="I472" s="75"/>
      <c r="J472" s="75"/>
      <c r="K472" s="346"/>
      <c r="L472" s="500" t="s">
        <v>539</v>
      </c>
      <c r="M472" s="63"/>
      <c r="N472" s="97"/>
      <c r="O472" s="98"/>
      <c r="P472" s="97"/>
      <c r="Q472" s="97"/>
      <c r="R472" s="98"/>
      <c r="S472" s="97"/>
      <c r="T472" s="99"/>
    </row>
    <row r="473" spans="3:20" ht="15.75">
      <c r="C473" s="69" t="s">
        <v>532</v>
      </c>
      <c r="D473" s="66"/>
      <c r="E473" s="165">
        <f>2.56*2+0.4*1</f>
        <v>5.5200000000000005</v>
      </c>
      <c r="F473" s="75">
        <f>1.75*2</f>
        <v>3.5</v>
      </c>
      <c r="G473" s="165">
        <f>F473+E473</f>
        <v>9.02</v>
      </c>
      <c r="H473" s="258">
        <v>1</v>
      </c>
      <c r="I473" s="75">
        <f aca="true" t="shared" si="41" ref="I473:I480">H473*G473</f>
        <v>9.02</v>
      </c>
      <c r="J473" s="75">
        <f>I473</f>
        <v>9.02</v>
      </c>
      <c r="K473" s="346"/>
      <c r="L473" s="69" t="s">
        <v>392</v>
      </c>
      <c r="M473" s="63"/>
      <c r="N473" s="97">
        <f>(1.9+0.48)*2</f>
        <v>4.76</v>
      </c>
      <c r="O473" s="98">
        <f>0.48*4</f>
        <v>1.92</v>
      </c>
      <c r="P473" s="97">
        <f>N473+O473</f>
        <v>6.68</v>
      </c>
      <c r="Q473" s="258">
        <v>1</v>
      </c>
      <c r="R473" s="98">
        <f aca="true" t="shared" si="42" ref="R473:R478">Q473*P473</f>
        <v>6.68</v>
      </c>
      <c r="S473" s="97">
        <f>R473</f>
        <v>6.68</v>
      </c>
      <c r="T473" s="99"/>
    </row>
    <row r="474" spans="3:20" ht="15.75">
      <c r="C474" s="325" t="s">
        <v>533</v>
      </c>
      <c r="D474" s="66"/>
      <c r="E474" s="258">
        <v>1</v>
      </c>
      <c r="F474" s="258">
        <v>1</v>
      </c>
      <c r="G474" s="258">
        <f aca="true" t="shared" si="43" ref="G474:G480">F474*E474</f>
        <v>1</v>
      </c>
      <c r="H474" s="258">
        <v>2</v>
      </c>
      <c r="I474" s="258">
        <f t="shared" si="41"/>
        <v>2</v>
      </c>
      <c r="J474" s="258">
        <f>I474</f>
        <v>2</v>
      </c>
      <c r="K474" s="346"/>
      <c r="L474" s="284" t="s">
        <v>605</v>
      </c>
      <c r="N474" s="97">
        <f>1.82</f>
        <v>1.82</v>
      </c>
      <c r="O474" s="98">
        <f>0.4</f>
        <v>0.4</v>
      </c>
      <c r="P474" s="97">
        <f>O474+N474</f>
        <v>2.22</v>
      </c>
      <c r="Q474" s="258">
        <v>1</v>
      </c>
      <c r="R474" s="98">
        <f t="shared" si="42"/>
        <v>2.22</v>
      </c>
      <c r="S474" s="97"/>
      <c r="T474" s="99"/>
    </row>
    <row r="475" spans="3:20" ht="15.75">
      <c r="C475" s="325" t="s">
        <v>534</v>
      </c>
      <c r="D475" s="66"/>
      <c r="E475" s="258">
        <v>1</v>
      </c>
      <c r="F475" s="258">
        <v>1</v>
      </c>
      <c r="G475" s="258">
        <f t="shared" si="43"/>
        <v>1</v>
      </c>
      <c r="H475" s="258">
        <v>2</v>
      </c>
      <c r="I475" s="258">
        <f t="shared" si="41"/>
        <v>2</v>
      </c>
      <c r="J475" s="258">
        <f>I475</f>
        <v>2</v>
      </c>
      <c r="K475" s="346"/>
      <c r="L475" s="326"/>
      <c r="N475" s="97">
        <v>0.4</v>
      </c>
      <c r="O475" s="98">
        <v>0.4</v>
      </c>
      <c r="P475" s="97">
        <f>O475+N475</f>
        <v>0.8</v>
      </c>
      <c r="Q475" s="258">
        <v>1</v>
      </c>
      <c r="R475" s="98">
        <f t="shared" si="42"/>
        <v>0.8</v>
      </c>
      <c r="S475" s="97">
        <f>SUM(R474:R475)</f>
        <v>3.0200000000000005</v>
      </c>
      <c r="T475" s="99"/>
    </row>
    <row r="476" spans="3:20" ht="15.75">
      <c r="C476" s="325" t="s">
        <v>596</v>
      </c>
      <c r="D476" s="66"/>
      <c r="E476" s="165">
        <f>2.06-0.16</f>
        <v>1.9000000000000001</v>
      </c>
      <c r="F476" s="75">
        <f>0.82-0.16</f>
        <v>0.6599999999999999</v>
      </c>
      <c r="G476" s="165">
        <f t="shared" si="43"/>
        <v>1.254</v>
      </c>
      <c r="H476" s="258">
        <v>2</v>
      </c>
      <c r="I476" s="75">
        <f t="shared" si="41"/>
        <v>2.508</v>
      </c>
      <c r="J476" s="75"/>
      <c r="K476" s="346"/>
      <c r="L476" s="284" t="s">
        <v>393</v>
      </c>
      <c r="N476" s="97">
        <f>(1.9+0.48)</f>
        <v>2.38</v>
      </c>
      <c r="O476" s="98">
        <v>0.48</v>
      </c>
      <c r="P476" s="97">
        <f>N476*O476</f>
        <v>1.1423999999999999</v>
      </c>
      <c r="Q476" s="258">
        <v>1</v>
      </c>
      <c r="R476" s="98">
        <f t="shared" si="42"/>
        <v>1.1423999999999999</v>
      </c>
      <c r="S476" s="97">
        <f>R476</f>
        <v>1.1423999999999999</v>
      </c>
      <c r="T476" s="99"/>
    </row>
    <row r="477" spans="3:20" ht="15.75">
      <c r="C477" s="325"/>
      <c r="D477" s="66"/>
      <c r="E477" s="165">
        <f>0.8-0.16</f>
        <v>0.64</v>
      </c>
      <c r="F477" s="75">
        <f>0.4-0.16</f>
        <v>0.24000000000000002</v>
      </c>
      <c r="G477" s="165">
        <f t="shared" si="43"/>
        <v>0.15360000000000001</v>
      </c>
      <c r="H477" s="258">
        <v>2</v>
      </c>
      <c r="I477" s="75">
        <f t="shared" si="41"/>
        <v>0.30720000000000003</v>
      </c>
      <c r="J477" s="75">
        <f>SUM(I476:I477)</f>
        <v>2.8152</v>
      </c>
      <c r="K477" s="346"/>
      <c r="L477" s="284" t="s">
        <v>394</v>
      </c>
      <c r="M477">
        <v>0.1</v>
      </c>
      <c r="N477" s="97">
        <v>0.5</v>
      </c>
      <c r="O477" s="98">
        <v>0.5</v>
      </c>
      <c r="P477" s="97">
        <f>O477*N477*M477</f>
        <v>0.025</v>
      </c>
      <c r="Q477" s="258">
        <v>1</v>
      </c>
      <c r="R477" s="98">
        <f t="shared" si="42"/>
        <v>0.025</v>
      </c>
      <c r="S477" s="97">
        <f>R477</f>
        <v>0.025</v>
      </c>
      <c r="T477" s="99"/>
    </row>
    <row r="478" spans="3:20" ht="15.75">
      <c r="C478" s="325" t="s">
        <v>395</v>
      </c>
      <c r="D478" s="66"/>
      <c r="E478" s="165">
        <f>0.12*0.2</f>
        <v>0.024</v>
      </c>
      <c r="F478" s="75">
        <v>1.75</v>
      </c>
      <c r="G478" s="165">
        <f t="shared" si="43"/>
        <v>0.042</v>
      </c>
      <c r="H478" s="258">
        <v>2</v>
      </c>
      <c r="I478" s="75">
        <f t="shared" si="41"/>
        <v>0.084</v>
      </c>
      <c r="J478" s="75">
        <f>I478</f>
        <v>0.084</v>
      </c>
      <c r="K478" s="346"/>
      <c r="L478" s="284" t="s">
        <v>395</v>
      </c>
      <c r="N478" s="97">
        <f>0.12*0.2</f>
        <v>0.024</v>
      </c>
      <c r="O478" s="98">
        <v>0.5</v>
      </c>
      <c r="P478" s="97">
        <f>N478*O478*2</f>
        <v>0.024</v>
      </c>
      <c r="Q478" s="258">
        <v>2</v>
      </c>
      <c r="R478" s="98">
        <f t="shared" si="42"/>
        <v>0.048</v>
      </c>
      <c r="S478" s="97">
        <f>R478</f>
        <v>0.048</v>
      </c>
      <c r="T478" s="99"/>
    </row>
    <row r="479" spans="3:20" ht="15.75">
      <c r="C479" s="325" t="s">
        <v>531</v>
      </c>
      <c r="D479" s="66"/>
      <c r="E479" s="165">
        <v>2.56</v>
      </c>
      <c r="F479" s="75">
        <v>1.75</v>
      </c>
      <c r="G479" s="165">
        <f t="shared" si="43"/>
        <v>4.48</v>
      </c>
      <c r="H479" s="258">
        <v>1</v>
      </c>
      <c r="I479" s="75">
        <f t="shared" si="41"/>
        <v>4.48</v>
      </c>
      <c r="J479" s="75"/>
      <c r="K479" s="346"/>
      <c r="L479" s="326"/>
      <c r="N479" s="97"/>
      <c r="O479" s="98"/>
      <c r="P479" s="97"/>
      <c r="Q479" s="258"/>
      <c r="R479" s="98"/>
      <c r="S479" s="97"/>
      <c r="T479" s="99"/>
    </row>
    <row r="480" spans="3:20" ht="15.75">
      <c r="C480" s="325"/>
      <c r="D480" s="66"/>
      <c r="E480" s="165"/>
      <c r="F480" s="75"/>
      <c r="G480" s="165">
        <f t="shared" si="43"/>
        <v>0</v>
      </c>
      <c r="H480" s="258">
        <v>1</v>
      </c>
      <c r="I480" s="75">
        <f t="shared" si="41"/>
        <v>0</v>
      </c>
      <c r="J480" s="75">
        <f>SUM(I479:I480)</f>
        <v>4.48</v>
      </c>
      <c r="K480" s="346"/>
      <c r="L480" s="326"/>
      <c r="N480" s="97"/>
      <c r="O480" s="98"/>
      <c r="P480" s="97"/>
      <c r="Q480" s="258"/>
      <c r="R480" s="98"/>
      <c r="S480" s="97"/>
      <c r="T480" s="99"/>
    </row>
    <row r="481" spans="3:20" ht="15.75">
      <c r="C481" s="325"/>
      <c r="D481" s="66"/>
      <c r="E481" s="165"/>
      <c r="F481" s="75"/>
      <c r="G481" s="165"/>
      <c r="H481" s="75"/>
      <c r="I481" s="75"/>
      <c r="J481" s="75"/>
      <c r="K481" s="346"/>
      <c r="L481" s="499"/>
      <c r="M481" s="329"/>
      <c r="N481" s="131"/>
      <c r="O481" s="136"/>
      <c r="P481" s="131"/>
      <c r="Q481" s="420"/>
      <c r="R481" s="136"/>
      <c r="S481" s="131"/>
      <c r="T481" s="233"/>
    </row>
    <row r="482" spans="3:20" ht="15.75">
      <c r="C482" s="426"/>
      <c r="D482" s="471"/>
      <c r="E482" s="230"/>
      <c r="F482" s="257"/>
      <c r="G482" s="230"/>
      <c r="H482" s="257"/>
      <c r="I482" s="257"/>
      <c r="J482" s="257"/>
      <c r="K482" s="352"/>
      <c r="L482" s="64"/>
      <c r="M482" s="471"/>
      <c r="N482" s="230"/>
      <c r="O482" s="145"/>
      <c r="P482" s="147"/>
      <c r="Q482" s="230"/>
      <c r="R482" s="257"/>
      <c r="S482" s="257"/>
      <c r="T482" s="352"/>
    </row>
    <row r="483" spans="3:20" ht="15.75">
      <c r="C483" s="494" t="s">
        <v>475</v>
      </c>
      <c r="D483" s="66"/>
      <c r="E483" s="165"/>
      <c r="F483" s="75"/>
      <c r="G483" s="165"/>
      <c r="H483" s="258"/>
      <c r="I483" s="75"/>
      <c r="J483" s="75"/>
      <c r="K483" s="346"/>
      <c r="L483" s="500" t="s">
        <v>538</v>
      </c>
      <c r="M483" s="265"/>
      <c r="N483" s="331"/>
      <c r="O483" s="332"/>
      <c r="P483" s="331"/>
      <c r="Q483" s="331"/>
      <c r="R483" s="98"/>
      <c r="S483" s="97"/>
      <c r="T483" s="346"/>
    </row>
    <row r="484" spans="3:20" ht="15.75">
      <c r="C484" s="69" t="s">
        <v>532</v>
      </c>
      <c r="D484" s="66"/>
      <c r="E484" s="165">
        <f>2.1*2</f>
        <v>4.2</v>
      </c>
      <c r="F484" s="75">
        <v>0.92</v>
      </c>
      <c r="G484" s="165">
        <f>F484+E484</f>
        <v>5.12</v>
      </c>
      <c r="H484" s="258">
        <v>1</v>
      </c>
      <c r="I484" s="75">
        <f>H484*G484</f>
        <v>5.12</v>
      </c>
      <c r="J484" s="75">
        <f>I484</f>
        <v>5.12</v>
      </c>
      <c r="K484" s="346"/>
      <c r="L484" s="69" t="s">
        <v>392</v>
      </c>
      <c r="M484" t="s">
        <v>396</v>
      </c>
      <c r="N484" s="97">
        <f>1.34*2</f>
        <v>2.68</v>
      </c>
      <c r="O484" s="98">
        <f>0.6*2</f>
        <v>1.2</v>
      </c>
      <c r="P484" s="97">
        <f>N484+O484</f>
        <v>3.88</v>
      </c>
      <c r="Q484" s="258">
        <v>1</v>
      </c>
      <c r="R484" s="98">
        <f>Q484*P484</f>
        <v>3.88</v>
      </c>
      <c r="S484" s="97">
        <f>R484</f>
        <v>3.88</v>
      </c>
      <c r="T484" s="346"/>
    </row>
    <row r="485" spans="3:20" ht="15.75">
      <c r="C485" s="325" t="s">
        <v>533</v>
      </c>
      <c r="D485" s="66"/>
      <c r="E485" s="258"/>
      <c r="F485" s="258"/>
      <c r="G485" s="258"/>
      <c r="H485" s="258"/>
      <c r="I485" s="258"/>
      <c r="J485" s="258"/>
      <c r="K485" s="346"/>
      <c r="L485" s="325" t="s">
        <v>534</v>
      </c>
      <c r="N485" s="143"/>
      <c r="O485" s="139"/>
      <c r="P485" s="143">
        <v>1</v>
      </c>
      <c r="Q485" s="143">
        <v>2</v>
      </c>
      <c r="R485" s="139">
        <f>Q485*P485</f>
        <v>2</v>
      </c>
      <c r="S485" s="97">
        <f>R485</f>
        <v>2</v>
      </c>
      <c r="T485" s="346"/>
    </row>
    <row r="486" spans="3:20" ht="15.75">
      <c r="C486" s="325" t="s">
        <v>597</v>
      </c>
      <c r="D486" s="66"/>
      <c r="E486" s="258">
        <v>2.1</v>
      </c>
      <c r="F486" s="492">
        <v>0.8</v>
      </c>
      <c r="G486" s="258">
        <f aca="true" t="shared" si="44" ref="G486:G491">F486*E486</f>
        <v>1.6800000000000002</v>
      </c>
      <c r="H486" s="258">
        <v>1</v>
      </c>
      <c r="I486" s="492">
        <f aca="true" t="shared" si="45" ref="I486:I491">H486*G486</f>
        <v>1.6800000000000002</v>
      </c>
      <c r="J486" s="492">
        <f aca="true" t="shared" si="46" ref="J486:J491">I486</f>
        <v>1.6800000000000002</v>
      </c>
      <c r="K486" s="346"/>
      <c r="L486" s="325" t="s">
        <v>397</v>
      </c>
      <c r="N486" s="143">
        <f>0.6-0.16</f>
        <v>0.43999999999999995</v>
      </c>
      <c r="O486" s="139">
        <f>0.4-0.16</f>
        <v>0.24000000000000002</v>
      </c>
      <c r="P486" s="143">
        <f>O486*N486</f>
        <v>0.1056</v>
      </c>
      <c r="Q486" s="143">
        <v>2</v>
      </c>
      <c r="R486" s="139">
        <f>Q486*P486</f>
        <v>0.2112</v>
      </c>
      <c r="S486" s="97">
        <f>R486</f>
        <v>0.2112</v>
      </c>
      <c r="T486" s="346"/>
    </row>
    <row r="487" spans="3:20" ht="15.75">
      <c r="C487" s="325" t="s">
        <v>530</v>
      </c>
      <c r="D487" s="66"/>
      <c r="E487" s="258">
        <v>1</v>
      </c>
      <c r="F487" s="258">
        <v>1</v>
      </c>
      <c r="G487" s="258">
        <f t="shared" si="44"/>
        <v>1</v>
      </c>
      <c r="H487" s="258">
        <v>1</v>
      </c>
      <c r="I487" s="258">
        <f t="shared" si="45"/>
        <v>1</v>
      </c>
      <c r="J487" s="258">
        <f t="shared" si="46"/>
        <v>1</v>
      </c>
      <c r="K487" s="346"/>
      <c r="L487" s="325"/>
      <c r="N487" s="143"/>
      <c r="O487" s="139"/>
      <c r="P487" s="143"/>
      <c r="Q487" s="143"/>
      <c r="R487" s="139"/>
      <c r="S487" s="97"/>
      <c r="T487" s="346"/>
    </row>
    <row r="488" spans="3:20" ht="15.75">
      <c r="C488" s="325" t="s">
        <v>599</v>
      </c>
      <c r="D488" s="66"/>
      <c r="E488" s="258">
        <v>3</v>
      </c>
      <c r="F488" s="258">
        <v>1</v>
      </c>
      <c r="G488" s="258">
        <f t="shared" si="44"/>
        <v>3</v>
      </c>
      <c r="H488" s="258">
        <v>1</v>
      </c>
      <c r="I488" s="258">
        <f t="shared" si="45"/>
        <v>3</v>
      </c>
      <c r="J488" s="258">
        <f t="shared" si="46"/>
        <v>3</v>
      </c>
      <c r="K488" s="346"/>
      <c r="L488" s="325"/>
      <c r="N488" s="143"/>
      <c r="O488" s="139"/>
      <c r="P488" s="143"/>
      <c r="Q488" s="143"/>
      <c r="R488" s="139"/>
      <c r="S488" s="97"/>
      <c r="T488" s="346"/>
    </row>
    <row r="489" spans="3:20" ht="15.75">
      <c r="C489" s="325" t="s">
        <v>595</v>
      </c>
      <c r="D489" s="66"/>
      <c r="E489" s="165">
        <f>G486</f>
        <v>1.6800000000000002</v>
      </c>
      <c r="F489" s="75">
        <v>2</v>
      </c>
      <c r="G489" s="258">
        <f t="shared" si="44"/>
        <v>3.3600000000000003</v>
      </c>
      <c r="H489" s="258">
        <v>1</v>
      </c>
      <c r="I489" s="492">
        <f t="shared" si="45"/>
        <v>3.3600000000000003</v>
      </c>
      <c r="J489" s="492">
        <f t="shared" si="46"/>
        <v>3.3600000000000003</v>
      </c>
      <c r="K489" s="346"/>
      <c r="L489" s="284" t="s">
        <v>393</v>
      </c>
      <c r="M489" s="333"/>
      <c r="N489" s="143">
        <v>1.34</v>
      </c>
      <c r="O489" s="139">
        <v>0.6</v>
      </c>
      <c r="P489" s="143">
        <f>N489+O489</f>
        <v>1.94</v>
      </c>
      <c r="Q489" s="143">
        <v>1</v>
      </c>
      <c r="R489" s="139">
        <f>Q489*P489</f>
        <v>1.94</v>
      </c>
      <c r="S489" s="97">
        <f>R489</f>
        <v>1.94</v>
      </c>
      <c r="T489" s="346"/>
    </row>
    <row r="490" spans="3:20" ht="15.75">
      <c r="C490" s="325" t="s">
        <v>395</v>
      </c>
      <c r="D490" s="66"/>
      <c r="E490" s="165">
        <f>0.12*0.2</f>
        <v>0.024</v>
      </c>
      <c r="F490" s="75">
        <v>1</v>
      </c>
      <c r="G490" s="165">
        <f t="shared" si="44"/>
        <v>0.024</v>
      </c>
      <c r="H490" s="258">
        <v>1</v>
      </c>
      <c r="I490" s="75">
        <f t="shared" si="45"/>
        <v>0.024</v>
      </c>
      <c r="J490" s="75">
        <f t="shared" si="46"/>
        <v>0.024</v>
      </c>
      <c r="K490" s="346"/>
      <c r="L490" s="284" t="s">
        <v>395</v>
      </c>
      <c r="M490" s="63"/>
      <c r="N490" s="97">
        <f>0.12*0.2</f>
        <v>0.024</v>
      </c>
      <c r="O490" s="98">
        <v>1.5</v>
      </c>
      <c r="P490" s="143">
        <f>N490*O490</f>
        <v>0.036000000000000004</v>
      </c>
      <c r="Q490" s="97">
        <v>2</v>
      </c>
      <c r="R490" s="98">
        <f>Q490*P490</f>
        <v>0.07200000000000001</v>
      </c>
      <c r="S490" s="97">
        <f>R490</f>
        <v>0.07200000000000001</v>
      </c>
      <c r="T490" s="346"/>
    </row>
    <row r="491" spans="3:20" ht="15.75">
      <c r="C491" s="325" t="s">
        <v>531</v>
      </c>
      <c r="D491" s="66"/>
      <c r="E491" s="165">
        <v>2.1</v>
      </c>
      <c r="F491" s="75">
        <v>0.9</v>
      </c>
      <c r="G491" s="165">
        <f t="shared" si="44"/>
        <v>1.8900000000000001</v>
      </c>
      <c r="H491" s="258">
        <v>1</v>
      </c>
      <c r="I491" s="75">
        <f t="shared" si="45"/>
        <v>1.8900000000000001</v>
      </c>
      <c r="J491" s="75">
        <f t="shared" si="46"/>
        <v>1.8900000000000001</v>
      </c>
      <c r="K491" s="346"/>
      <c r="L491" s="325" t="s">
        <v>394</v>
      </c>
      <c r="N491" s="97"/>
      <c r="O491" s="98"/>
      <c r="P491" s="97"/>
      <c r="Q491" s="258"/>
      <c r="R491" s="98"/>
      <c r="S491" s="97"/>
      <c r="T491" s="346"/>
    </row>
    <row r="492" spans="3:20" ht="15.75">
      <c r="C492" s="327"/>
      <c r="D492" s="472"/>
      <c r="E492" s="232"/>
      <c r="F492" s="473"/>
      <c r="G492" s="232"/>
      <c r="H492" s="473"/>
      <c r="I492" s="473"/>
      <c r="J492" s="473"/>
      <c r="K492" s="368"/>
      <c r="L492" s="327"/>
      <c r="M492" s="328"/>
      <c r="N492" s="131"/>
      <c r="O492" s="136"/>
      <c r="P492" s="131"/>
      <c r="Q492" s="131"/>
      <c r="R492" s="136"/>
      <c r="S492" s="131"/>
      <c r="T492" s="233"/>
    </row>
    <row r="493" spans="3:20" ht="15.75">
      <c r="C493" s="426"/>
      <c r="D493" s="471"/>
      <c r="E493" s="230"/>
      <c r="F493" s="257"/>
      <c r="G493" s="230"/>
      <c r="H493" s="257"/>
      <c r="I493" s="257"/>
      <c r="J493" s="257"/>
      <c r="K493" s="352"/>
      <c r="L493" s="64"/>
      <c r="M493" s="471"/>
      <c r="N493" s="230"/>
      <c r="O493" s="145"/>
      <c r="P493" s="147"/>
      <c r="Q493" s="230"/>
      <c r="R493" s="257"/>
      <c r="S493" s="257"/>
      <c r="T493" s="352"/>
    </row>
    <row r="494" spans="3:20" ht="15.75">
      <c r="C494" s="494" t="s">
        <v>540</v>
      </c>
      <c r="D494" s="66"/>
      <c r="E494" s="165"/>
      <c r="F494" s="75"/>
      <c r="G494" s="165"/>
      <c r="H494" s="258"/>
      <c r="I494" s="75"/>
      <c r="J494" s="75"/>
      <c r="K494" s="346"/>
      <c r="L494" s="500" t="s">
        <v>608</v>
      </c>
      <c r="M494" s="265"/>
      <c r="N494" s="331"/>
      <c r="O494" s="332"/>
      <c r="P494" s="331"/>
      <c r="Q494" s="331"/>
      <c r="R494" s="98"/>
      <c r="S494" s="97"/>
      <c r="T494" s="346"/>
    </row>
    <row r="495" spans="3:20" ht="15.75">
      <c r="C495" s="69" t="s">
        <v>532</v>
      </c>
      <c r="D495" s="66"/>
      <c r="E495" s="165">
        <f>2.15*2</f>
        <v>4.3</v>
      </c>
      <c r="F495" s="75">
        <v>1.32</v>
      </c>
      <c r="G495" s="165">
        <f>F495+E495</f>
        <v>5.62</v>
      </c>
      <c r="H495" s="258">
        <v>1</v>
      </c>
      <c r="I495" s="75">
        <f aca="true" t="shared" si="47" ref="I495:I503">H495*G495</f>
        <v>5.62</v>
      </c>
      <c r="J495" s="75">
        <f aca="true" t="shared" si="48" ref="J495:J503">I495</f>
        <v>5.62</v>
      </c>
      <c r="K495" s="346"/>
      <c r="L495" s="69" t="s">
        <v>392</v>
      </c>
      <c r="M495" t="s">
        <v>396</v>
      </c>
      <c r="N495" s="97">
        <f>0.5*2</f>
        <v>1</v>
      </c>
      <c r="O495" s="98">
        <f>0.5*2</f>
        <v>1</v>
      </c>
      <c r="P495" s="97">
        <f>N495+O495</f>
        <v>2</v>
      </c>
      <c r="Q495" s="258">
        <v>1</v>
      </c>
      <c r="R495" s="98">
        <f>Q495*P495</f>
        <v>2</v>
      </c>
      <c r="S495" s="97">
        <f>R495</f>
        <v>2</v>
      </c>
      <c r="T495" s="346"/>
    </row>
    <row r="496" spans="3:20" ht="15.75">
      <c r="C496" s="325" t="s">
        <v>598</v>
      </c>
      <c r="D496" s="66"/>
      <c r="E496" s="258">
        <v>2.1</v>
      </c>
      <c r="F496" s="258">
        <v>0.82</v>
      </c>
      <c r="G496" s="258">
        <f aca="true" t="shared" si="49" ref="G496:G503">F496*E496</f>
        <v>1.722</v>
      </c>
      <c r="H496" s="258">
        <v>1</v>
      </c>
      <c r="I496" s="258">
        <f t="shared" si="47"/>
        <v>1.722</v>
      </c>
      <c r="J496" s="258">
        <f t="shared" si="48"/>
        <v>1.722</v>
      </c>
      <c r="K496" s="346"/>
      <c r="L496" s="325" t="s">
        <v>534</v>
      </c>
      <c r="N496" s="143"/>
      <c r="O496" s="139"/>
      <c r="P496" s="143">
        <v>1</v>
      </c>
      <c r="Q496" s="143">
        <v>1</v>
      </c>
      <c r="R496" s="139">
        <f>Q496*P496</f>
        <v>1</v>
      </c>
      <c r="S496" s="97">
        <f>R496</f>
        <v>1</v>
      </c>
      <c r="T496" s="346"/>
    </row>
    <row r="497" spans="3:20" ht="15.75">
      <c r="C497" s="325" t="s">
        <v>600</v>
      </c>
      <c r="D497" s="66"/>
      <c r="E497" s="258">
        <v>2.1</v>
      </c>
      <c r="F497" s="258">
        <v>0.4</v>
      </c>
      <c r="G497" s="258">
        <f t="shared" si="49"/>
        <v>0.8400000000000001</v>
      </c>
      <c r="H497" s="258">
        <v>1</v>
      </c>
      <c r="I497" s="258">
        <f t="shared" si="47"/>
        <v>0.8400000000000001</v>
      </c>
      <c r="J497" s="258">
        <f t="shared" si="48"/>
        <v>0.8400000000000001</v>
      </c>
      <c r="K497" s="346"/>
      <c r="L497" s="325" t="s">
        <v>397</v>
      </c>
      <c r="N497" s="143">
        <f>0.4-0.16</f>
        <v>0.24000000000000002</v>
      </c>
      <c r="O497" s="139">
        <f>0.4-0.16</f>
        <v>0.24000000000000002</v>
      </c>
      <c r="P497" s="143">
        <f>O497*N497</f>
        <v>0.05760000000000001</v>
      </c>
      <c r="Q497" s="143">
        <v>1</v>
      </c>
      <c r="R497" s="139">
        <f>Q497*P497</f>
        <v>0.05760000000000001</v>
      </c>
      <c r="S497" s="97">
        <f>R497</f>
        <v>0.05760000000000001</v>
      </c>
      <c r="T497" s="346"/>
    </row>
    <row r="498" spans="3:20" ht="15.75">
      <c r="C498" s="325" t="s">
        <v>74</v>
      </c>
      <c r="D498" s="66"/>
      <c r="E498" s="165">
        <f>2.1-0.16</f>
        <v>1.9400000000000002</v>
      </c>
      <c r="F498" s="75">
        <f>0.4-0.16</f>
        <v>0.24000000000000002</v>
      </c>
      <c r="G498" s="165">
        <f t="shared" si="49"/>
        <v>0.46560000000000007</v>
      </c>
      <c r="H498" s="258">
        <v>1</v>
      </c>
      <c r="I498" s="75">
        <f t="shared" si="47"/>
        <v>0.46560000000000007</v>
      </c>
      <c r="J498" s="75">
        <f t="shared" si="48"/>
        <v>0.46560000000000007</v>
      </c>
      <c r="K498" s="346"/>
      <c r="L498" s="284" t="s">
        <v>393</v>
      </c>
      <c r="M498" s="333"/>
      <c r="N498" s="143">
        <v>0.6</v>
      </c>
      <c r="O498" s="139">
        <v>0.6</v>
      </c>
      <c r="P498" s="143">
        <f>N498+O498</f>
        <v>1.2</v>
      </c>
      <c r="Q498" s="143">
        <v>1</v>
      </c>
      <c r="R498" s="139">
        <f>Q498*P498</f>
        <v>1.2</v>
      </c>
      <c r="S498" s="97">
        <f>R498</f>
        <v>1.2</v>
      </c>
      <c r="T498" s="346"/>
    </row>
    <row r="499" spans="3:20" ht="15.75">
      <c r="C499" s="325" t="s">
        <v>530</v>
      </c>
      <c r="D499" s="66"/>
      <c r="E499" s="165">
        <v>1</v>
      </c>
      <c r="F499" s="75">
        <v>1</v>
      </c>
      <c r="G499" s="165">
        <f t="shared" si="49"/>
        <v>1</v>
      </c>
      <c r="H499" s="258">
        <v>1</v>
      </c>
      <c r="I499" s="75">
        <f t="shared" si="47"/>
        <v>1</v>
      </c>
      <c r="J499" s="75">
        <f t="shared" si="48"/>
        <v>1</v>
      </c>
      <c r="K499" s="346"/>
      <c r="L499" s="284" t="s">
        <v>395</v>
      </c>
      <c r="M499" s="63"/>
      <c r="N499" s="97">
        <f>0.12*0.2</f>
        <v>0.024</v>
      </c>
      <c r="O499" s="98">
        <v>1</v>
      </c>
      <c r="P499" s="143">
        <f>N499*O499</f>
        <v>0.024</v>
      </c>
      <c r="Q499" s="97">
        <v>1</v>
      </c>
      <c r="R499" s="98">
        <f>Q499*P499</f>
        <v>0.024</v>
      </c>
      <c r="S499" s="97">
        <f>R499</f>
        <v>0.024</v>
      </c>
      <c r="T499" s="346"/>
    </row>
    <row r="500" spans="3:20" ht="15.75">
      <c r="C500" s="325" t="s">
        <v>599</v>
      </c>
      <c r="D500" s="66"/>
      <c r="E500" s="165">
        <v>3</v>
      </c>
      <c r="F500" s="75">
        <v>2</v>
      </c>
      <c r="G500" s="165">
        <f t="shared" si="49"/>
        <v>6</v>
      </c>
      <c r="H500" s="258">
        <v>1</v>
      </c>
      <c r="I500" s="75">
        <f t="shared" si="47"/>
        <v>6</v>
      </c>
      <c r="J500" s="75">
        <f t="shared" si="48"/>
        <v>6</v>
      </c>
      <c r="K500" s="346"/>
      <c r="L500" s="325" t="s">
        <v>394</v>
      </c>
      <c r="N500" s="97"/>
      <c r="O500" s="98"/>
      <c r="P500" s="97"/>
      <c r="Q500" s="258"/>
      <c r="R500" s="98"/>
      <c r="S500" s="97"/>
      <c r="T500" s="346"/>
    </row>
    <row r="501" spans="3:20" ht="15.75">
      <c r="C501" s="325" t="s">
        <v>595</v>
      </c>
      <c r="D501" s="66"/>
      <c r="E501" s="165">
        <f>I496</f>
        <v>1.722</v>
      </c>
      <c r="F501" s="75">
        <v>2</v>
      </c>
      <c r="G501" s="165">
        <f t="shared" si="49"/>
        <v>3.444</v>
      </c>
      <c r="H501" s="258">
        <v>1</v>
      </c>
      <c r="I501" s="75">
        <f t="shared" si="47"/>
        <v>3.444</v>
      </c>
      <c r="J501" s="75">
        <f t="shared" si="48"/>
        <v>3.444</v>
      </c>
      <c r="K501" s="346"/>
      <c r="L501" s="327"/>
      <c r="M501" s="328"/>
      <c r="N501" s="131"/>
      <c r="O501" s="136"/>
      <c r="P501" s="131"/>
      <c r="Q501" s="131"/>
      <c r="R501" s="136"/>
      <c r="S501" s="131"/>
      <c r="T501" s="233"/>
    </row>
    <row r="502" spans="3:20" ht="15.75">
      <c r="C502" s="325" t="s">
        <v>395</v>
      </c>
      <c r="D502" s="66"/>
      <c r="E502" s="165">
        <f>0.12*0.2</f>
        <v>0.024</v>
      </c>
      <c r="F502" s="75">
        <v>1.5</v>
      </c>
      <c r="G502" s="165">
        <f t="shared" si="49"/>
        <v>0.036000000000000004</v>
      </c>
      <c r="H502" s="258">
        <v>1</v>
      </c>
      <c r="I502" s="75">
        <f t="shared" si="47"/>
        <v>0.036000000000000004</v>
      </c>
      <c r="J502" s="75">
        <f t="shared" si="48"/>
        <v>0.036000000000000004</v>
      </c>
      <c r="K502" s="346"/>
      <c r="L502" s="325"/>
      <c r="N502" s="143"/>
      <c r="O502" s="139"/>
      <c r="P502" s="143"/>
      <c r="Q502" s="139"/>
      <c r="R502" s="139"/>
      <c r="S502" s="98"/>
      <c r="T502" s="99"/>
    </row>
    <row r="503" spans="3:20" ht="15.75">
      <c r="C503" s="325" t="s">
        <v>531</v>
      </c>
      <c r="D503" s="66"/>
      <c r="E503" s="165">
        <v>2.1</v>
      </c>
      <c r="F503" s="75">
        <v>1.32</v>
      </c>
      <c r="G503" s="165">
        <f t="shared" si="49"/>
        <v>2.7720000000000002</v>
      </c>
      <c r="H503" s="258">
        <v>1</v>
      </c>
      <c r="I503" s="75">
        <f t="shared" si="47"/>
        <v>2.7720000000000002</v>
      </c>
      <c r="J503" s="75">
        <f t="shared" si="48"/>
        <v>2.7720000000000002</v>
      </c>
      <c r="K503" s="346"/>
      <c r="L503" s="325"/>
      <c r="N503" s="143"/>
      <c r="O503" s="139"/>
      <c r="P503" s="143"/>
      <c r="Q503" s="139"/>
      <c r="R503" s="139"/>
      <c r="S503" s="98"/>
      <c r="T503" s="99"/>
    </row>
    <row r="504" spans="3:20" ht="15.75">
      <c r="C504" s="325"/>
      <c r="D504" s="66"/>
      <c r="E504" s="165"/>
      <c r="F504" s="75"/>
      <c r="G504" s="165"/>
      <c r="H504" s="75"/>
      <c r="I504" s="75"/>
      <c r="J504" s="75"/>
      <c r="K504" s="346"/>
      <c r="L504" s="325"/>
      <c r="N504" s="143"/>
      <c r="O504" s="139"/>
      <c r="P504" s="143"/>
      <c r="Q504" s="139"/>
      <c r="R504" s="139"/>
      <c r="S504" s="98"/>
      <c r="T504" s="99"/>
    </row>
    <row r="505" spans="3:20" ht="15.75">
      <c r="C505" s="426"/>
      <c r="D505" s="471"/>
      <c r="E505" s="230"/>
      <c r="F505" s="257"/>
      <c r="G505" s="230"/>
      <c r="H505" s="257"/>
      <c r="I505" s="257"/>
      <c r="J505" s="257"/>
      <c r="K505" s="352"/>
      <c r="L505" s="325"/>
      <c r="N505" s="143"/>
      <c r="O505" s="139"/>
      <c r="P505" s="143"/>
      <c r="Q505" s="139"/>
      <c r="R505" s="139"/>
      <c r="S505" s="98"/>
      <c r="T505" s="99"/>
    </row>
    <row r="506" spans="3:20" ht="15.75">
      <c r="C506" s="494" t="s">
        <v>602</v>
      </c>
      <c r="D506" s="66"/>
      <c r="E506" s="165"/>
      <c r="F506" s="75"/>
      <c r="G506" s="165"/>
      <c r="H506" s="258"/>
      <c r="I506" s="75"/>
      <c r="J506" s="75"/>
      <c r="K506" s="346"/>
      <c r="L506" s="325"/>
      <c r="N506" s="143"/>
      <c r="O506" s="139"/>
      <c r="P506" s="143"/>
      <c r="Q506" s="139"/>
      <c r="R506" s="139"/>
      <c r="S506" s="98"/>
      <c r="T506" s="99"/>
    </row>
    <row r="507" spans="3:20" ht="15.75">
      <c r="C507" s="69" t="s">
        <v>532</v>
      </c>
      <c r="D507" s="66"/>
      <c r="E507" s="165">
        <f>2.1*2</f>
        <v>4.2</v>
      </c>
      <c r="F507" s="75">
        <v>1.2</v>
      </c>
      <c r="G507" s="165">
        <f>F507+E507</f>
        <v>5.4</v>
      </c>
      <c r="H507" s="258">
        <v>1</v>
      </c>
      <c r="I507" s="75">
        <f aca="true" t="shared" si="50" ref="I507:I514">H507*G507</f>
        <v>5.4</v>
      </c>
      <c r="J507" s="75">
        <f>I507</f>
        <v>5.4</v>
      </c>
      <c r="K507" s="346"/>
      <c r="L507" s="325"/>
      <c r="N507" s="143"/>
      <c r="O507" s="139"/>
      <c r="P507" s="143"/>
      <c r="Q507" s="139"/>
      <c r="R507" s="139"/>
      <c r="S507" s="98"/>
      <c r="T507" s="99"/>
    </row>
    <row r="508" spans="3:20" ht="15.75">
      <c r="C508" s="325" t="s">
        <v>598</v>
      </c>
      <c r="D508" s="66"/>
      <c r="E508" s="258">
        <v>2.1</v>
      </c>
      <c r="F508" s="258">
        <v>1.1</v>
      </c>
      <c r="G508" s="258">
        <f aca="true" t="shared" si="51" ref="G508:G514">F508*E508</f>
        <v>2.3100000000000005</v>
      </c>
      <c r="H508" s="258">
        <v>1</v>
      </c>
      <c r="I508" s="258">
        <f t="shared" si="50"/>
        <v>2.3100000000000005</v>
      </c>
      <c r="J508" s="258">
        <f>I508</f>
        <v>2.3100000000000005</v>
      </c>
      <c r="K508" s="346"/>
      <c r="L508" s="325"/>
      <c r="N508" s="143"/>
      <c r="O508" s="139"/>
      <c r="P508" s="143"/>
      <c r="Q508" s="139"/>
      <c r="R508" s="139"/>
      <c r="S508" s="98"/>
      <c r="T508" s="99"/>
    </row>
    <row r="509" spans="3:20" ht="15.75">
      <c r="C509" s="325" t="s">
        <v>601</v>
      </c>
      <c r="D509" s="66"/>
      <c r="E509" s="258">
        <v>2.1</v>
      </c>
      <c r="F509" s="258">
        <v>1.1</v>
      </c>
      <c r="G509" s="258">
        <f>F509*E509</f>
        <v>2.3100000000000005</v>
      </c>
      <c r="H509" s="258">
        <v>2</v>
      </c>
      <c r="I509" s="258">
        <f>H509*G509</f>
        <v>4.620000000000001</v>
      </c>
      <c r="J509" s="258">
        <f>I509</f>
        <v>4.620000000000001</v>
      </c>
      <c r="K509" s="346"/>
      <c r="L509" s="325"/>
      <c r="N509" s="143"/>
      <c r="O509" s="139"/>
      <c r="P509" s="143"/>
      <c r="Q509" s="139"/>
      <c r="R509" s="139"/>
      <c r="S509" s="98"/>
      <c r="T509" s="99"/>
    </row>
    <row r="510" spans="3:20" ht="15.75">
      <c r="C510" s="325" t="s">
        <v>599</v>
      </c>
      <c r="D510" s="66"/>
      <c r="E510" s="165">
        <v>3</v>
      </c>
      <c r="F510" s="75">
        <v>1</v>
      </c>
      <c r="G510" s="258">
        <f>F510*E510</f>
        <v>3</v>
      </c>
      <c r="H510" s="258">
        <v>1</v>
      </c>
      <c r="I510" s="258">
        <f>H510*G510</f>
        <v>3</v>
      </c>
      <c r="J510" s="258">
        <f>I510</f>
        <v>3</v>
      </c>
      <c r="K510" s="346"/>
      <c r="L510" s="325"/>
      <c r="N510" s="143"/>
      <c r="O510" s="139"/>
      <c r="P510" s="143"/>
      <c r="Q510" s="139"/>
      <c r="R510" s="139"/>
      <c r="S510" s="98"/>
      <c r="T510" s="99"/>
    </row>
    <row r="511" spans="3:20" ht="15.75">
      <c r="C511" s="325" t="s">
        <v>619</v>
      </c>
      <c r="D511" s="66"/>
      <c r="E511" s="165"/>
      <c r="F511" s="75"/>
      <c r="G511" s="258"/>
      <c r="H511" s="258"/>
      <c r="I511" s="258"/>
      <c r="J511" s="258"/>
      <c r="K511" s="346"/>
      <c r="L511" s="325"/>
      <c r="N511" s="143"/>
      <c r="O511" s="139"/>
      <c r="P511" s="143"/>
      <c r="Q511" s="139"/>
      <c r="R511" s="139"/>
      <c r="S511" s="98"/>
      <c r="T511" s="99"/>
    </row>
    <row r="512" spans="3:20" ht="15.75">
      <c r="C512" s="325" t="s">
        <v>595</v>
      </c>
      <c r="D512" s="66"/>
      <c r="E512" s="165">
        <f>G508</f>
        <v>2.3100000000000005</v>
      </c>
      <c r="F512" s="75">
        <v>2</v>
      </c>
      <c r="G512" s="258">
        <f>F512*E512</f>
        <v>4.620000000000001</v>
      </c>
      <c r="H512" s="258">
        <v>1</v>
      </c>
      <c r="I512" s="258">
        <f>H512*G512</f>
        <v>4.620000000000001</v>
      </c>
      <c r="J512" s="258">
        <f>I512</f>
        <v>4.620000000000001</v>
      </c>
      <c r="K512" s="346"/>
      <c r="L512" s="325"/>
      <c r="N512" s="143"/>
      <c r="O512" s="139"/>
      <c r="P512" s="143"/>
      <c r="Q512" s="139"/>
      <c r="R512" s="139"/>
      <c r="S512" s="98"/>
      <c r="T512" s="99"/>
    </row>
    <row r="513" spans="3:20" ht="15.75">
      <c r="C513" s="325" t="s">
        <v>395</v>
      </c>
      <c r="D513" s="66"/>
      <c r="E513" s="165">
        <f>0.12*0.2</f>
        <v>0.024</v>
      </c>
      <c r="F513" s="75">
        <v>1.25</v>
      </c>
      <c r="G513" s="165">
        <f t="shared" si="51"/>
        <v>0.03</v>
      </c>
      <c r="H513" s="258">
        <v>2</v>
      </c>
      <c r="I513" s="75">
        <f t="shared" si="50"/>
        <v>0.06</v>
      </c>
      <c r="J513" s="75">
        <f>I513</f>
        <v>0.06</v>
      </c>
      <c r="K513" s="346"/>
      <c r="L513" s="325"/>
      <c r="N513" s="143"/>
      <c r="O513" s="139"/>
      <c r="P513" s="143"/>
      <c r="Q513" s="139"/>
      <c r="R513" s="139"/>
      <c r="S513" s="98"/>
      <c r="T513" s="99"/>
    </row>
    <row r="514" spans="3:20" ht="15.75">
      <c r="C514" s="325" t="s">
        <v>531</v>
      </c>
      <c r="D514" s="66"/>
      <c r="E514" s="165">
        <v>2.1</v>
      </c>
      <c r="F514" s="75">
        <v>1.25</v>
      </c>
      <c r="G514" s="165">
        <f t="shared" si="51"/>
        <v>2.625</v>
      </c>
      <c r="H514" s="258">
        <v>1</v>
      </c>
      <c r="I514" s="75">
        <f t="shared" si="50"/>
        <v>2.625</v>
      </c>
      <c r="J514" s="75">
        <f>I514</f>
        <v>2.625</v>
      </c>
      <c r="K514" s="346"/>
      <c r="L514" s="325"/>
      <c r="N514" s="143"/>
      <c r="O514" s="139"/>
      <c r="P514" s="143"/>
      <c r="Q514" s="139"/>
      <c r="R514" s="139"/>
      <c r="S514" s="98"/>
      <c r="T514" s="99"/>
    </row>
    <row r="515" spans="3:20" ht="15.75">
      <c r="C515" s="325"/>
      <c r="D515" s="66"/>
      <c r="E515" s="165"/>
      <c r="F515" s="75"/>
      <c r="G515" s="165"/>
      <c r="H515" s="258"/>
      <c r="I515" s="75"/>
      <c r="J515" s="75"/>
      <c r="K515" s="346"/>
      <c r="L515" s="325"/>
      <c r="N515" s="143"/>
      <c r="O515" s="139"/>
      <c r="P515" s="143"/>
      <c r="Q515" s="139"/>
      <c r="R515" s="139"/>
      <c r="S515" s="98"/>
      <c r="T515" s="99"/>
    </row>
    <row r="516" spans="3:20" ht="15.75">
      <c r="C516" s="327"/>
      <c r="D516" s="472"/>
      <c r="E516" s="232"/>
      <c r="F516" s="473"/>
      <c r="G516" s="232"/>
      <c r="H516" s="473"/>
      <c r="I516" s="473"/>
      <c r="J516" s="473"/>
      <c r="K516" s="368"/>
      <c r="L516" s="325"/>
      <c r="N516" s="143"/>
      <c r="O516" s="139"/>
      <c r="P516" s="143"/>
      <c r="Q516" s="139"/>
      <c r="R516" s="139"/>
      <c r="S516" s="98"/>
      <c r="T516" s="99"/>
    </row>
    <row r="517" spans="3:20" ht="15.75">
      <c r="C517" s="426"/>
      <c r="D517" s="471"/>
      <c r="E517" s="230"/>
      <c r="F517" s="257"/>
      <c r="G517" s="230"/>
      <c r="H517" s="257"/>
      <c r="I517" s="257"/>
      <c r="J517" s="257"/>
      <c r="K517" s="352"/>
      <c r="L517" s="325"/>
      <c r="N517" s="143"/>
      <c r="O517" s="139"/>
      <c r="P517" s="143"/>
      <c r="Q517" s="139"/>
      <c r="R517" s="139"/>
      <c r="S517" s="98"/>
      <c r="T517" s="99"/>
    </row>
    <row r="518" spans="3:20" ht="15.75">
      <c r="C518" s="494" t="s">
        <v>604</v>
      </c>
      <c r="D518" s="66"/>
      <c r="E518" s="165"/>
      <c r="F518" s="75"/>
      <c r="G518" s="165"/>
      <c r="H518" s="75"/>
      <c r="I518" s="75"/>
      <c r="J518" s="75"/>
      <c r="K518" s="346"/>
      <c r="L518" s="325"/>
      <c r="N518" s="143"/>
      <c r="O518" s="139"/>
      <c r="P518" s="143"/>
      <c r="Q518" s="139"/>
      <c r="R518" s="139"/>
      <c r="S518" s="98"/>
      <c r="T518" s="99"/>
    </row>
    <row r="519" spans="3:20" ht="15.75">
      <c r="C519" s="69" t="s">
        <v>532</v>
      </c>
      <c r="D519" s="66"/>
      <c r="E519" s="165">
        <f>2.09*2</f>
        <v>4.18</v>
      </c>
      <c r="F519" s="75">
        <v>0.9</v>
      </c>
      <c r="G519" s="165">
        <f>F519*E519</f>
        <v>3.762</v>
      </c>
      <c r="H519" s="258">
        <v>1</v>
      </c>
      <c r="I519" s="75">
        <f>H519*G519</f>
        <v>3.762</v>
      </c>
      <c r="J519" s="75">
        <f>I519</f>
        <v>3.762</v>
      </c>
      <c r="K519" s="346"/>
      <c r="L519" s="325"/>
      <c r="N519" s="143"/>
      <c r="O519" s="139"/>
      <c r="P519" s="143"/>
      <c r="Q519" s="139"/>
      <c r="R519" s="139"/>
      <c r="S519" s="98"/>
      <c r="T519" s="99"/>
    </row>
    <row r="520" spans="3:20" ht="15.75">
      <c r="C520" s="325" t="s">
        <v>533</v>
      </c>
      <c r="D520" s="66"/>
      <c r="E520" s="258">
        <v>1</v>
      </c>
      <c r="F520" s="258">
        <v>1</v>
      </c>
      <c r="G520" s="258">
        <f>F520*E520</f>
        <v>1</v>
      </c>
      <c r="H520" s="258">
        <v>2</v>
      </c>
      <c r="I520" s="258">
        <f>H520*G520</f>
        <v>2</v>
      </c>
      <c r="J520" s="258">
        <f>I520</f>
        <v>2</v>
      </c>
      <c r="K520" s="346"/>
      <c r="L520" s="325"/>
      <c r="N520" s="143"/>
      <c r="O520" s="139"/>
      <c r="P520" s="143"/>
      <c r="Q520" s="139"/>
      <c r="R520" s="139"/>
      <c r="S520" s="98"/>
      <c r="T520" s="99"/>
    </row>
    <row r="521" spans="3:20" ht="15.75">
      <c r="C521" s="325" t="s">
        <v>74</v>
      </c>
      <c r="D521" s="66"/>
      <c r="E521" s="165">
        <v>1.9</v>
      </c>
      <c r="F521" s="75">
        <v>0.6</v>
      </c>
      <c r="G521" s="165">
        <f>F521*E521</f>
        <v>1.14</v>
      </c>
      <c r="H521" s="258">
        <v>1</v>
      </c>
      <c r="I521" s="75">
        <f>H521*G521</f>
        <v>1.14</v>
      </c>
      <c r="J521" s="75">
        <f>I521</f>
        <v>1.14</v>
      </c>
      <c r="K521" s="346"/>
      <c r="L521" s="325"/>
      <c r="N521" s="143"/>
      <c r="O521" s="139"/>
      <c r="P521" s="143"/>
      <c r="Q521" s="139"/>
      <c r="R521" s="139"/>
      <c r="S521" s="98"/>
      <c r="T521" s="99"/>
    </row>
    <row r="522" spans="3:20" ht="15.75">
      <c r="C522" s="325" t="s">
        <v>395</v>
      </c>
      <c r="D522" s="66"/>
      <c r="E522" s="165">
        <f>0.12*0.2</f>
        <v>0.024</v>
      </c>
      <c r="F522" s="75">
        <v>1</v>
      </c>
      <c r="G522" s="165">
        <f>F522*E522</f>
        <v>0.024</v>
      </c>
      <c r="H522" s="258">
        <v>1</v>
      </c>
      <c r="I522" s="75">
        <f>H522*G522</f>
        <v>0.024</v>
      </c>
      <c r="J522" s="75">
        <f>I522</f>
        <v>0.024</v>
      </c>
      <c r="K522" s="346"/>
      <c r="L522" s="325"/>
      <c r="N522" s="143"/>
      <c r="O522" s="139"/>
      <c r="P522" s="143"/>
      <c r="Q522" s="139"/>
      <c r="R522" s="139"/>
      <c r="S522" s="98"/>
      <c r="T522" s="99"/>
    </row>
    <row r="523" spans="3:20" ht="15.75">
      <c r="C523" s="325" t="s">
        <v>531</v>
      </c>
      <c r="D523" s="66"/>
      <c r="E523" s="165">
        <v>2.1</v>
      </c>
      <c r="F523" s="75">
        <v>1</v>
      </c>
      <c r="G523" s="165">
        <f>F523*E523</f>
        <v>2.1</v>
      </c>
      <c r="H523" s="258">
        <v>1</v>
      </c>
      <c r="I523" s="75">
        <f>H523*G523</f>
        <v>2.1</v>
      </c>
      <c r="J523" s="75">
        <f>I523</f>
        <v>2.1</v>
      </c>
      <c r="K523" s="346"/>
      <c r="L523" s="325"/>
      <c r="N523" s="143"/>
      <c r="O523" s="139"/>
      <c r="P523" s="143"/>
      <c r="Q523" s="139"/>
      <c r="R523" s="139"/>
      <c r="S523" s="98"/>
      <c r="T523" s="99"/>
    </row>
    <row r="524" spans="3:20" ht="15.75">
      <c r="C524" s="327"/>
      <c r="D524" s="472"/>
      <c r="E524" s="232"/>
      <c r="F524" s="473"/>
      <c r="G524" s="232"/>
      <c r="H524" s="473"/>
      <c r="I524" s="473"/>
      <c r="J524" s="473"/>
      <c r="K524" s="368"/>
      <c r="L524" s="325"/>
      <c r="N524" s="143"/>
      <c r="O524" s="139"/>
      <c r="P524" s="143"/>
      <c r="Q524" s="139"/>
      <c r="R524" s="139"/>
      <c r="S524" s="98"/>
      <c r="T524" s="99"/>
    </row>
    <row r="525" spans="3:20" ht="15.75">
      <c r="C525" s="426"/>
      <c r="D525" s="471"/>
      <c r="E525" s="230"/>
      <c r="F525" s="257"/>
      <c r="G525" s="230"/>
      <c r="H525" s="257"/>
      <c r="I525" s="257"/>
      <c r="J525" s="257"/>
      <c r="K525" s="352"/>
      <c r="L525" s="325"/>
      <c r="N525" s="143"/>
      <c r="O525" s="139"/>
      <c r="P525" s="143"/>
      <c r="Q525" s="139"/>
      <c r="R525" s="139"/>
      <c r="S525" s="98"/>
      <c r="T525" s="99"/>
    </row>
    <row r="526" spans="3:20" ht="15.75">
      <c r="C526" s="494" t="s">
        <v>603</v>
      </c>
      <c r="D526" s="66"/>
      <c r="E526" s="165"/>
      <c r="F526" s="75"/>
      <c r="G526" s="165"/>
      <c r="H526" s="75"/>
      <c r="I526" s="75"/>
      <c r="J526" s="75"/>
      <c r="K526" s="346"/>
      <c r="L526" s="325"/>
      <c r="N526" s="143"/>
      <c r="O526" s="139"/>
      <c r="P526" s="143"/>
      <c r="Q526" s="139"/>
      <c r="R526" s="139"/>
      <c r="S526" s="98"/>
      <c r="T526" s="99"/>
    </row>
    <row r="527" spans="3:20" ht="15.75">
      <c r="C527" s="69" t="s">
        <v>532</v>
      </c>
      <c r="D527" s="66"/>
      <c r="E527" s="165">
        <f>2.1*2+1.9*2+0.6*3</f>
        <v>9.8</v>
      </c>
      <c r="F527" s="75">
        <f>1.68*3+0.34*2</f>
        <v>5.72</v>
      </c>
      <c r="G527" s="165">
        <f aca="true" t="shared" si="52" ref="G527:G535">F527*E527</f>
        <v>56.056000000000004</v>
      </c>
      <c r="H527" s="258">
        <v>1</v>
      </c>
      <c r="I527" s="75">
        <f aca="true" t="shared" si="53" ref="I527:I535">H527*G527</f>
        <v>56.056000000000004</v>
      </c>
      <c r="J527" s="75">
        <f>I527</f>
        <v>56.056000000000004</v>
      </c>
      <c r="K527" s="346"/>
      <c r="L527" s="325"/>
      <c r="N527" s="143"/>
      <c r="O527" s="139"/>
      <c r="P527" s="143"/>
      <c r="Q527" s="139"/>
      <c r="R527" s="139"/>
      <c r="S527" s="98"/>
      <c r="T527" s="99"/>
    </row>
    <row r="528" spans="3:20" ht="15.75">
      <c r="C528" s="325" t="s">
        <v>533</v>
      </c>
      <c r="D528" s="66"/>
      <c r="E528" s="258">
        <v>1</v>
      </c>
      <c r="F528" s="258">
        <v>1</v>
      </c>
      <c r="G528" s="258">
        <f t="shared" si="52"/>
        <v>1</v>
      </c>
      <c r="H528" s="258">
        <v>1</v>
      </c>
      <c r="I528" s="258">
        <f t="shared" si="53"/>
        <v>1</v>
      </c>
      <c r="J528" s="258">
        <f>I528</f>
        <v>1</v>
      </c>
      <c r="K528" s="346"/>
      <c r="L528" s="325"/>
      <c r="N528" s="143"/>
      <c r="O528" s="139"/>
      <c r="P528" s="143"/>
      <c r="Q528" s="139"/>
      <c r="R528" s="139"/>
      <c r="S528" s="98"/>
      <c r="T528" s="99"/>
    </row>
    <row r="529" spans="3:20" ht="15.75">
      <c r="C529" s="325" t="s">
        <v>534</v>
      </c>
      <c r="D529" s="66"/>
      <c r="E529" s="258">
        <v>1</v>
      </c>
      <c r="F529" s="492">
        <v>1</v>
      </c>
      <c r="G529" s="258">
        <f t="shared" si="52"/>
        <v>1</v>
      </c>
      <c r="H529" s="258">
        <v>2</v>
      </c>
      <c r="I529" s="258">
        <f t="shared" si="53"/>
        <v>2</v>
      </c>
      <c r="J529" s="258">
        <f>I529</f>
        <v>2</v>
      </c>
      <c r="K529" s="346"/>
      <c r="L529" s="325"/>
      <c r="N529" s="143"/>
      <c r="O529" s="139"/>
      <c r="P529" s="143"/>
      <c r="Q529" s="139"/>
      <c r="R529" s="139"/>
      <c r="S529" s="98"/>
      <c r="T529" s="99"/>
    </row>
    <row r="530" spans="3:20" ht="15.75">
      <c r="C530" s="325" t="s">
        <v>74</v>
      </c>
      <c r="D530" s="66"/>
      <c r="E530" s="165">
        <v>1.9</v>
      </c>
      <c r="F530" s="75">
        <v>0.6</v>
      </c>
      <c r="G530" s="165">
        <f t="shared" si="52"/>
        <v>1.14</v>
      </c>
      <c r="H530" s="258">
        <v>1</v>
      </c>
      <c r="I530" s="75">
        <f t="shared" si="53"/>
        <v>1.14</v>
      </c>
      <c r="J530" s="75"/>
      <c r="K530" s="346"/>
      <c r="L530" s="325"/>
      <c r="N530" s="143"/>
      <c r="O530" s="139"/>
      <c r="P530" s="143"/>
      <c r="Q530" s="139"/>
      <c r="R530" s="139"/>
      <c r="S530" s="98"/>
      <c r="T530" s="99"/>
    </row>
    <row r="531" spans="3:20" ht="15.75">
      <c r="C531" s="325"/>
      <c r="D531" s="66"/>
      <c r="E531" s="165">
        <v>1.9</v>
      </c>
      <c r="F531" s="75">
        <v>0.34</v>
      </c>
      <c r="G531" s="165">
        <f t="shared" si="52"/>
        <v>0.646</v>
      </c>
      <c r="H531" s="258">
        <v>2</v>
      </c>
      <c r="I531" s="75">
        <f t="shared" si="53"/>
        <v>1.292</v>
      </c>
      <c r="J531" s="75"/>
      <c r="K531" s="346"/>
      <c r="L531" s="325"/>
      <c r="N531" s="143"/>
      <c r="O531" s="139"/>
      <c r="P531" s="143"/>
      <c r="Q531" s="139"/>
      <c r="R531" s="139"/>
      <c r="S531" s="98"/>
      <c r="T531" s="99"/>
    </row>
    <row r="532" spans="3:20" ht="15.75">
      <c r="C532" s="325"/>
      <c r="D532" s="66"/>
      <c r="E532" s="165">
        <v>0.56</v>
      </c>
      <c r="F532" s="75">
        <v>0.22</v>
      </c>
      <c r="G532" s="165">
        <f t="shared" si="52"/>
        <v>0.12320000000000002</v>
      </c>
      <c r="H532" s="258">
        <v>2</v>
      </c>
      <c r="I532" s="75">
        <f t="shared" si="53"/>
        <v>0.24640000000000004</v>
      </c>
      <c r="J532" s="75">
        <f>SUM(I530:I532)</f>
        <v>2.6784</v>
      </c>
      <c r="K532" s="346"/>
      <c r="L532" s="325"/>
      <c r="N532" s="143"/>
      <c r="O532" s="139"/>
      <c r="P532" s="143"/>
      <c r="Q532" s="139"/>
      <c r="R532" s="139"/>
      <c r="S532" s="98"/>
      <c r="T532" s="99"/>
    </row>
    <row r="533" spans="3:20" ht="15.75">
      <c r="C533" s="325" t="s">
        <v>395</v>
      </c>
      <c r="D533" s="66"/>
      <c r="E533" s="165">
        <f>0.12*0.2</f>
        <v>0.024</v>
      </c>
      <c r="F533" s="75">
        <v>1.75</v>
      </c>
      <c r="G533" s="165">
        <f t="shared" si="52"/>
        <v>0.042</v>
      </c>
      <c r="H533" s="258">
        <v>2</v>
      </c>
      <c r="I533" s="75">
        <f t="shared" si="53"/>
        <v>0.084</v>
      </c>
      <c r="J533" s="75">
        <f>I533</f>
        <v>0.084</v>
      </c>
      <c r="K533" s="346"/>
      <c r="L533" s="325"/>
      <c r="N533" s="143"/>
      <c r="O533" s="139"/>
      <c r="P533" s="143"/>
      <c r="Q533" s="139"/>
      <c r="R533" s="139"/>
      <c r="S533" s="98"/>
      <c r="T533" s="99"/>
    </row>
    <row r="534" spans="3:20" ht="15.75">
      <c r="C534" s="325" t="s">
        <v>531</v>
      </c>
      <c r="D534" s="66"/>
      <c r="E534" s="165">
        <v>2.1</v>
      </c>
      <c r="F534" s="75">
        <v>1.66</v>
      </c>
      <c r="G534" s="165">
        <f t="shared" si="52"/>
        <v>3.4859999999999998</v>
      </c>
      <c r="H534" s="258">
        <v>1</v>
      </c>
      <c r="I534" s="75">
        <f t="shared" si="53"/>
        <v>3.4859999999999998</v>
      </c>
      <c r="J534" s="75"/>
      <c r="K534" s="346"/>
      <c r="L534" s="325"/>
      <c r="N534" s="143"/>
      <c r="O534" s="139"/>
      <c r="P534" s="143"/>
      <c r="Q534" s="139"/>
      <c r="R534" s="139"/>
      <c r="S534" s="98"/>
      <c r="T534" s="99"/>
    </row>
    <row r="535" spans="3:20" ht="15.75">
      <c r="C535" s="325"/>
      <c r="D535" s="66"/>
      <c r="E535" s="165">
        <v>0.6</v>
      </c>
      <c r="F535" s="75">
        <v>1.66</v>
      </c>
      <c r="G535" s="165">
        <f t="shared" si="52"/>
        <v>0.9959999999999999</v>
      </c>
      <c r="H535" s="75">
        <v>1</v>
      </c>
      <c r="I535" s="75">
        <f t="shared" si="53"/>
        <v>0.9959999999999999</v>
      </c>
      <c r="J535" s="75">
        <f>SUM(I534:I535)</f>
        <v>4.481999999999999</v>
      </c>
      <c r="K535" s="346"/>
      <c r="L535" s="325"/>
      <c r="N535" s="143"/>
      <c r="O535" s="139"/>
      <c r="P535" s="143"/>
      <c r="Q535" s="139"/>
      <c r="R535" s="139"/>
      <c r="S535" s="98"/>
      <c r="T535" s="99"/>
    </row>
    <row r="536" spans="3:20" ht="15.75">
      <c r="C536" s="327"/>
      <c r="D536" s="472"/>
      <c r="E536" s="232"/>
      <c r="F536" s="473"/>
      <c r="G536" s="232"/>
      <c r="H536" s="473"/>
      <c r="I536" s="473"/>
      <c r="J536" s="473"/>
      <c r="K536" s="368"/>
      <c r="L536" s="325"/>
      <c r="N536" s="143"/>
      <c r="O536" s="139"/>
      <c r="P536" s="143"/>
      <c r="Q536" s="139"/>
      <c r="R536" s="139"/>
      <c r="S536" s="98"/>
      <c r="T536" s="99"/>
    </row>
    <row r="537" spans="3:20" ht="15.75">
      <c r="C537" s="426"/>
      <c r="D537" s="471"/>
      <c r="E537" s="230"/>
      <c r="F537" s="257"/>
      <c r="G537" s="230"/>
      <c r="H537" s="257"/>
      <c r="I537" s="257"/>
      <c r="J537" s="257"/>
      <c r="K537" s="352"/>
      <c r="L537" s="325"/>
      <c r="N537" s="143"/>
      <c r="O537" s="139"/>
      <c r="P537" s="143"/>
      <c r="Q537" s="139"/>
      <c r="R537" s="139"/>
      <c r="S537" s="98"/>
      <c r="T537" s="99"/>
    </row>
    <row r="538" spans="3:20" ht="15.75">
      <c r="C538" s="359" t="s">
        <v>365</v>
      </c>
      <c r="D538" s="63"/>
      <c r="E538" s="97"/>
      <c r="F538" s="98"/>
      <c r="G538" s="97"/>
      <c r="H538" s="97"/>
      <c r="I538" s="98"/>
      <c r="J538" s="97"/>
      <c r="K538" s="99"/>
      <c r="L538" s="325"/>
      <c r="N538" s="143"/>
      <c r="O538" s="139"/>
      <c r="P538" s="143"/>
      <c r="Q538" s="139"/>
      <c r="R538" s="139"/>
      <c r="S538" s="98"/>
      <c r="T538" s="99"/>
    </row>
    <row r="539" spans="3:20" ht="15.75">
      <c r="C539" s="474"/>
      <c r="D539" s="324"/>
      <c r="E539" s="1110" t="s">
        <v>451</v>
      </c>
      <c r="F539" s="1111"/>
      <c r="G539" s="1108" t="s">
        <v>730</v>
      </c>
      <c r="H539" s="1109"/>
      <c r="I539" s="145"/>
      <c r="J539" s="151"/>
      <c r="K539" s="99"/>
      <c r="L539" s="325"/>
      <c r="N539" s="143"/>
      <c r="O539" s="139"/>
      <c r="P539" s="143"/>
      <c r="Q539" s="139"/>
      <c r="R539" s="139"/>
      <c r="S539" s="98"/>
      <c r="T539" s="99"/>
    </row>
    <row r="540" spans="3:20" ht="15.75">
      <c r="C540" s="467"/>
      <c r="D540" s="329"/>
      <c r="E540" s="1106" t="s">
        <v>398</v>
      </c>
      <c r="F540" s="1107"/>
      <c r="G540" s="1106"/>
      <c r="H540" s="1107"/>
      <c r="I540" s="1106"/>
      <c r="J540" s="1107"/>
      <c r="K540" s="99"/>
      <c r="L540" s="325"/>
      <c r="N540" s="143"/>
      <c r="O540" s="139"/>
      <c r="P540" s="143"/>
      <c r="Q540" s="139"/>
      <c r="R540" s="139"/>
      <c r="S540" s="98"/>
      <c r="T540" s="99"/>
    </row>
    <row r="541" spans="3:20" ht="15.75">
      <c r="C541" s="475" t="s">
        <v>323</v>
      </c>
      <c r="D541" s="57" t="s">
        <v>312</v>
      </c>
      <c r="E541" s="501" t="s">
        <v>399</v>
      </c>
      <c r="F541" s="476" t="s">
        <v>328</v>
      </c>
      <c r="G541" s="501" t="s">
        <v>399</v>
      </c>
      <c r="H541" s="476" t="s">
        <v>328</v>
      </c>
      <c r="I541" s="504"/>
      <c r="J541" s="57"/>
      <c r="K541" s="99"/>
      <c r="L541" s="325"/>
      <c r="N541" s="143"/>
      <c r="O541" s="139"/>
      <c r="P541" s="143"/>
      <c r="Q541" s="139"/>
      <c r="R541" s="139"/>
      <c r="S541" s="98"/>
      <c r="T541" s="99"/>
    </row>
    <row r="542" spans="3:20" ht="15.75">
      <c r="C542" s="249" t="s">
        <v>471</v>
      </c>
      <c r="D542" s="97">
        <v>2</v>
      </c>
      <c r="E542" s="191">
        <f>J450</f>
        <v>0.0504</v>
      </c>
      <c r="F542" s="98">
        <f aca="true" t="shared" si="54" ref="F542:F556">D542*E542</f>
        <v>0.1008</v>
      </c>
      <c r="G542" s="97"/>
      <c r="H542" s="97"/>
      <c r="I542" s="89"/>
      <c r="J542" s="98"/>
      <c r="K542" s="99"/>
      <c r="L542" s="325"/>
      <c r="N542" s="143"/>
      <c r="O542" s="139"/>
      <c r="P542" s="143"/>
      <c r="Q542" s="139"/>
      <c r="R542" s="139"/>
      <c r="S542" s="98"/>
      <c r="T542" s="99"/>
    </row>
    <row r="543" spans="3:20" ht="15.75">
      <c r="C543" s="249" t="s">
        <v>472</v>
      </c>
      <c r="D543" s="97">
        <v>2</v>
      </c>
      <c r="E543" s="191">
        <f>J457</f>
        <v>0.024</v>
      </c>
      <c r="F543" s="98">
        <f t="shared" si="54"/>
        <v>0.048</v>
      </c>
      <c r="G543" s="97"/>
      <c r="H543" s="97"/>
      <c r="I543" s="89"/>
      <c r="J543" s="98"/>
      <c r="K543" s="99"/>
      <c r="L543" s="325"/>
      <c r="N543" s="143"/>
      <c r="O543" s="139"/>
      <c r="P543" s="143"/>
      <c r="Q543" s="139"/>
      <c r="R543" s="139"/>
      <c r="S543" s="98"/>
      <c r="T543" s="99"/>
    </row>
    <row r="544" spans="3:20" ht="15.75">
      <c r="C544" s="249" t="s">
        <v>473</v>
      </c>
      <c r="D544" s="97">
        <v>9</v>
      </c>
      <c r="E544" s="191">
        <f>J467</f>
        <v>0.024</v>
      </c>
      <c r="F544" s="98">
        <f t="shared" si="54"/>
        <v>0.216</v>
      </c>
      <c r="G544" s="97"/>
      <c r="H544" s="97"/>
      <c r="I544" s="89"/>
      <c r="J544" s="98"/>
      <c r="K544" s="99"/>
      <c r="L544" s="325"/>
      <c r="N544" s="143"/>
      <c r="O544" s="139"/>
      <c r="P544" s="143"/>
      <c r="Q544" s="139"/>
      <c r="R544" s="139"/>
      <c r="S544" s="98"/>
      <c r="T544" s="99"/>
    </row>
    <row r="545" spans="3:20" ht="15.75">
      <c r="C545" s="249" t="s">
        <v>474</v>
      </c>
      <c r="D545" s="97">
        <v>1</v>
      </c>
      <c r="E545" s="191">
        <f>J478</f>
        <v>0.084</v>
      </c>
      <c r="F545" s="98">
        <f t="shared" si="54"/>
        <v>0.084</v>
      </c>
      <c r="G545" s="97"/>
      <c r="H545" s="97"/>
      <c r="I545" s="89"/>
      <c r="J545" s="98"/>
      <c r="K545" s="99"/>
      <c r="L545" s="325"/>
      <c r="N545" s="143"/>
      <c r="O545" s="139"/>
      <c r="P545" s="143"/>
      <c r="Q545" s="139"/>
      <c r="R545" s="139"/>
      <c r="S545" s="98"/>
      <c r="T545" s="99"/>
    </row>
    <row r="546" spans="3:20" ht="15.75">
      <c r="C546" s="249" t="s">
        <v>475</v>
      </c>
      <c r="D546" s="97">
        <v>10</v>
      </c>
      <c r="E546" s="191">
        <f>J490</f>
        <v>0.024</v>
      </c>
      <c r="F546" s="98">
        <f t="shared" si="54"/>
        <v>0.24</v>
      </c>
      <c r="G546" s="97"/>
      <c r="H546" s="97"/>
      <c r="I546" s="89"/>
      <c r="J546" s="98"/>
      <c r="K546" s="99"/>
      <c r="L546" s="325"/>
      <c r="N546" s="143"/>
      <c r="O546" s="139"/>
      <c r="P546" s="143"/>
      <c r="Q546" s="139"/>
      <c r="R546" s="139"/>
      <c r="S546" s="98"/>
      <c r="T546" s="99"/>
    </row>
    <row r="547" spans="3:20" ht="15.75">
      <c r="C547" s="249" t="s">
        <v>540</v>
      </c>
      <c r="D547" s="97">
        <v>1</v>
      </c>
      <c r="E547" s="191">
        <f>J502</f>
        <v>0.036000000000000004</v>
      </c>
      <c r="F547" s="98">
        <f t="shared" si="54"/>
        <v>0.036000000000000004</v>
      </c>
      <c r="G547" s="97"/>
      <c r="H547" s="97"/>
      <c r="I547" s="89"/>
      <c r="J547" s="98"/>
      <c r="K547" s="99"/>
      <c r="L547" s="325"/>
      <c r="N547" s="143"/>
      <c r="O547" s="139"/>
      <c r="P547" s="143"/>
      <c r="Q547" s="139"/>
      <c r="R547" s="139"/>
      <c r="S547" s="98"/>
      <c r="T547" s="99"/>
    </row>
    <row r="548" spans="3:20" ht="15.75">
      <c r="C548" s="249" t="s">
        <v>602</v>
      </c>
      <c r="D548" s="97">
        <v>1</v>
      </c>
      <c r="E548" s="191">
        <f>J513</f>
        <v>0.06</v>
      </c>
      <c r="F548" s="98">
        <f t="shared" si="54"/>
        <v>0.06</v>
      </c>
      <c r="G548" s="97"/>
      <c r="H548" s="97"/>
      <c r="I548" s="89"/>
      <c r="J548" s="98"/>
      <c r="K548" s="99"/>
      <c r="L548" s="325"/>
      <c r="N548" s="143"/>
      <c r="O548" s="139"/>
      <c r="P548" s="143"/>
      <c r="Q548" s="139"/>
      <c r="R548" s="139"/>
      <c r="S548" s="98"/>
      <c r="T548" s="99"/>
    </row>
    <row r="549" spans="3:20" ht="15.75">
      <c r="C549" s="249" t="s">
        <v>604</v>
      </c>
      <c r="D549" s="97">
        <v>1</v>
      </c>
      <c r="E549" s="191">
        <f>J522</f>
        <v>0.024</v>
      </c>
      <c r="F549" s="98">
        <f t="shared" si="54"/>
        <v>0.024</v>
      </c>
      <c r="G549" s="97"/>
      <c r="H549" s="97"/>
      <c r="I549" s="89"/>
      <c r="J549" s="98"/>
      <c r="K549" s="99"/>
      <c r="L549" s="325"/>
      <c r="N549" s="143"/>
      <c r="O549" s="139"/>
      <c r="P549" s="143"/>
      <c r="Q549" s="139"/>
      <c r="R549" s="139"/>
      <c r="S549" s="98"/>
      <c r="T549" s="99"/>
    </row>
    <row r="550" spans="3:20" ht="15.75">
      <c r="C550" s="249" t="s">
        <v>603</v>
      </c>
      <c r="D550" s="97">
        <v>1</v>
      </c>
      <c r="E550" s="191">
        <f>J533</f>
        <v>0.084</v>
      </c>
      <c r="F550" s="98">
        <f t="shared" si="54"/>
        <v>0.084</v>
      </c>
      <c r="G550" s="97"/>
      <c r="H550" s="97"/>
      <c r="I550" s="89"/>
      <c r="J550" s="98"/>
      <c r="K550" s="99"/>
      <c r="L550" s="325"/>
      <c r="N550" s="143"/>
      <c r="O550" s="139"/>
      <c r="P550" s="143"/>
      <c r="Q550" s="139"/>
      <c r="R550" s="139"/>
      <c r="S550" s="98"/>
      <c r="T550" s="99"/>
    </row>
    <row r="551" spans="3:20" ht="15.75">
      <c r="C551" s="249" t="s">
        <v>448</v>
      </c>
      <c r="D551" s="97">
        <v>2</v>
      </c>
      <c r="E551" s="191">
        <f>S444</f>
        <v>0.096</v>
      </c>
      <c r="F551" s="98">
        <f t="shared" si="54"/>
        <v>0.192</v>
      </c>
      <c r="G551" s="97"/>
      <c r="H551" s="97"/>
      <c r="I551" s="89"/>
      <c r="J551" s="98"/>
      <c r="K551" s="99"/>
      <c r="L551" s="325"/>
      <c r="N551" s="143"/>
      <c r="O551" s="139"/>
      <c r="P551" s="143"/>
      <c r="Q551" s="139"/>
      <c r="R551" s="139"/>
      <c r="S551" s="98"/>
      <c r="T551" s="99"/>
    </row>
    <row r="552" spans="3:20" ht="15.75">
      <c r="C552" s="249" t="s">
        <v>535</v>
      </c>
      <c r="D552" s="97">
        <v>2</v>
      </c>
      <c r="E552" s="191">
        <f>S458</f>
        <v>0.07200000000000001</v>
      </c>
      <c r="F552" s="98">
        <f t="shared" si="54"/>
        <v>0.14400000000000002</v>
      </c>
      <c r="G552" s="97"/>
      <c r="H552" s="97"/>
      <c r="I552" s="89"/>
      <c r="J552" s="98"/>
      <c r="K552" s="99"/>
      <c r="L552" s="325"/>
      <c r="N552" s="143"/>
      <c r="O552" s="139"/>
      <c r="P552" s="143"/>
      <c r="Q552" s="139"/>
      <c r="R552" s="139"/>
      <c r="S552" s="98"/>
      <c r="T552" s="99"/>
    </row>
    <row r="553" spans="3:20" ht="15.75">
      <c r="C553" s="249" t="s">
        <v>537</v>
      </c>
      <c r="D553" s="97">
        <v>12</v>
      </c>
      <c r="E553" s="191">
        <f>S468</f>
        <v>0.07200000000000001</v>
      </c>
      <c r="F553" s="98">
        <f t="shared" si="54"/>
        <v>0.8640000000000001</v>
      </c>
      <c r="G553" s="97">
        <f>S469</f>
        <v>0.066</v>
      </c>
      <c r="H553" s="97">
        <f>G553*D553</f>
        <v>0.792</v>
      </c>
      <c r="I553" s="89"/>
      <c r="J553" s="98"/>
      <c r="K553" s="99"/>
      <c r="L553" s="325"/>
      <c r="N553" s="143"/>
      <c r="O553" s="139"/>
      <c r="P553" s="143"/>
      <c r="Q553" s="139"/>
      <c r="R553" s="139"/>
      <c r="S553" s="98"/>
      <c r="T553" s="99"/>
    </row>
    <row r="554" spans="3:20" ht="15.75">
      <c r="C554" s="249" t="s">
        <v>539</v>
      </c>
      <c r="D554" s="97">
        <v>6</v>
      </c>
      <c r="E554" s="191">
        <f>S478</f>
        <v>0.048</v>
      </c>
      <c r="F554" s="98">
        <f t="shared" si="54"/>
        <v>0.28800000000000003</v>
      </c>
      <c r="G554" s="97">
        <f>S477</f>
        <v>0.025</v>
      </c>
      <c r="H554" s="97">
        <f>G554*D554</f>
        <v>0.15000000000000002</v>
      </c>
      <c r="I554" s="89"/>
      <c r="J554" s="98"/>
      <c r="K554" s="99"/>
      <c r="L554" s="325"/>
      <c r="N554" s="143"/>
      <c r="O554" s="139"/>
      <c r="P554" s="143"/>
      <c r="Q554" s="139"/>
      <c r="R554" s="139"/>
      <c r="S554" s="98"/>
      <c r="T554" s="99"/>
    </row>
    <row r="555" spans="3:20" ht="15.75">
      <c r="C555" s="249" t="s">
        <v>630</v>
      </c>
      <c r="D555" s="97">
        <v>10</v>
      </c>
      <c r="E555" s="191">
        <f>S490</f>
        <v>0.07200000000000001</v>
      </c>
      <c r="F555" s="98">
        <f t="shared" si="54"/>
        <v>0.7200000000000001</v>
      </c>
      <c r="G555" s="97"/>
      <c r="H555" s="97"/>
      <c r="I555" s="89"/>
      <c r="J555" s="98"/>
      <c r="K555" s="99"/>
      <c r="L555" s="325"/>
      <c r="N555" s="143"/>
      <c r="O555" s="139"/>
      <c r="P555" s="143"/>
      <c r="Q555" s="139"/>
      <c r="R555" s="139"/>
      <c r="S555" s="98"/>
      <c r="T555" s="99"/>
    </row>
    <row r="556" spans="3:20" ht="15.75">
      <c r="C556" s="249" t="s">
        <v>631</v>
      </c>
      <c r="D556" s="97">
        <v>4</v>
      </c>
      <c r="E556" s="191">
        <f>S499</f>
        <v>0.024</v>
      </c>
      <c r="F556" s="98">
        <f t="shared" si="54"/>
        <v>0.096</v>
      </c>
      <c r="G556" s="97"/>
      <c r="H556" s="131"/>
      <c r="I556" s="341"/>
      <c r="J556" s="98"/>
      <c r="K556" s="99"/>
      <c r="L556" s="325"/>
      <c r="N556" s="143"/>
      <c r="O556" s="139"/>
      <c r="P556" s="143"/>
      <c r="Q556" s="139"/>
      <c r="R556" s="139"/>
      <c r="S556" s="98"/>
      <c r="T556" s="99"/>
    </row>
    <row r="557" spans="3:20" ht="15.75">
      <c r="C557" s="249"/>
      <c r="D557" s="386"/>
      <c r="E557" s="147"/>
      <c r="F557" s="145">
        <f>SUM(F542:F556)</f>
        <v>3.196800000000001</v>
      </c>
      <c r="G557" s="147"/>
      <c r="H557" s="145">
        <f>SUM(H542:H556)</f>
        <v>0.9420000000000001</v>
      </c>
      <c r="I557" s="145"/>
      <c r="J557" s="147"/>
      <c r="K557" s="99"/>
      <c r="L557" s="325"/>
      <c r="N557" s="143"/>
      <c r="O557" s="139"/>
      <c r="P557" s="143"/>
      <c r="Q557" s="139"/>
      <c r="R557" s="139"/>
      <c r="S557" s="98"/>
      <c r="T557" s="99"/>
    </row>
    <row r="558" spans="3:20" ht="15.75">
      <c r="C558" s="249"/>
      <c r="D558" s="191"/>
      <c r="E558" s="97"/>
      <c r="F558" s="98"/>
      <c r="G558" s="97"/>
      <c r="H558" s="98"/>
      <c r="I558" s="98"/>
      <c r="J558" s="97"/>
      <c r="K558" s="99"/>
      <c r="L558" s="325"/>
      <c r="N558" s="143"/>
      <c r="O558" s="139"/>
      <c r="P558" s="143"/>
      <c r="Q558" s="139"/>
      <c r="R558" s="139"/>
      <c r="S558" s="98"/>
      <c r="T558" s="99"/>
    </row>
    <row r="559" spans="3:20" ht="15.75">
      <c r="C559" s="500" t="s">
        <v>257</v>
      </c>
      <c r="D559" s="191"/>
      <c r="E559" s="97">
        <v>3</v>
      </c>
      <c r="F559" s="98">
        <v>2.1</v>
      </c>
      <c r="G559" s="97">
        <f>F559*E559</f>
        <v>6.300000000000001</v>
      </c>
      <c r="H559" s="258">
        <v>3</v>
      </c>
      <c r="I559" s="98">
        <f>H559*G559</f>
        <v>18.900000000000002</v>
      </c>
      <c r="J559" s="97"/>
      <c r="K559" s="99"/>
      <c r="L559" s="325"/>
      <c r="N559" s="143"/>
      <c r="O559" s="139"/>
      <c r="P559" s="143"/>
      <c r="Q559" s="139"/>
      <c r="R559" s="139"/>
      <c r="S559" s="98"/>
      <c r="T559" s="99"/>
    </row>
    <row r="560" spans="3:20" ht="15.75">
      <c r="C560" s="249"/>
      <c r="D560" s="191"/>
      <c r="E560" s="97">
        <v>4.5</v>
      </c>
      <c r="F560" s="98">
        <f>F559</f>
        <v>2.1</v>
      </c>
      <c r="G560" s="97">
        <f>F560*E560</f>
        <v>9.450000000000001</v>
      </c>
      <c r="H560" s="258">
        <v>5</v>
      </c>
      <c r="I560" s="98">
        <f>H560*G560</f>
        <v>47.25000000000001</v>
      </c>
      <c r="J560" s="97"/>
      <c r="K560" s="99"/>
      <c r="L560" s="325"/>
      <c r="N560" s="143"/>
      <c r="O560" s="139"/>
      <c r="P560" s="143"/>
      <c r="Q560" s="139"/>
      <c r="R560" s="139"/>
      <c r="S560" s="98"/>
      <c r="T560" s="99"/>
    </row>
    <row r="561" spans="3:20" ht="15.75">
      <c r="C561" s="249"/>
      <c r="D561" s="191"/>
      <c r="E561" s="97">
        <v>2.25</v>
      </c>
      <c r="F561" s="98">
        <f>F559</f>
        <v>2.1</v>
      </c>
      <c r="G561" s="97">
        <f>F561*E561</f>
        <v>4.7250000000000005</v>
      </c>
      <c r="H561" s="258">
        <v>3</v>
      </c>
      <c r="I561" s="98">
        <f>H561*G561</f>
        <v>14.175</v>
      </c>
      <c r="J561" s="97"/>
      <c r="K561" s="99"/>
      <c r="L561" s="325"/>
      <c r="N561" s="143"/>
      <c r="O561" s="139"/>
      <c r="P561" s="143"/>
      <c r="Q561" s="139"/>
      <c r="R561" s="139"/>
      <c r="S561" s="98"/>
      <c r="T561" s="99"/>
    </row>
    <row r="562" spans="3:20" ht="15.75">
      <c r="C562" s="249"/>
      <c r="D562" s="191"/>
      <c r="E562" s="97">
        <v>1.5</v>
      </c>
      <c r="F562" s="98">
        <f>F559</f>
        <v>2.1</v>
      </c>
      <c r="G562" s="97">
        <f>F562*E562</f>
        <v>3.1500000000000004</v>
      </c>
      <c r="H562" s="258">
        <v>3</v>
      </c>
      <c r="I562" s="98">
        <f>H562*G562</f>
        <v>9.450000000000001</v>
      </c>
      <c r="J562" s="97">
        <f>SUM(I559:I562)</f>
        <v>89.775</v>
      </c>
      <c r="K562" s="99">
        <f>J562</f>
        <v>89.775</v>
      </c>
      <c r="L562" s="325"/>
      <c r="N562" s="143"/>
      <c r="O562" s="139"/>
      <c r="P562" s="143"/>
      <c r="Q562" s="139"/>
      <c r="R562" s="139"/>
      <c r="S562" s="98"/>
      <c r="T562" s="99"/>
    </row>
    <row r="563" spans="3:20" ht="15.75">
      <c r="C563" s="249"/>
      <c r="D563" s="191"/>
      <c r="E563" s="97"/>
      <c r="F563" s="98"/>
      <c r="G563" s="97"/>
      <c r="H563" s="98"/>
      <c r="I563" s="98"/>
      <c r="J563" s="97"/>
      <c r="K563" s="99"/>
      <c r="L563" s="325"/>
      <c r="N563" s="143"/>
      <c r="O563" s="139"/>
      <c r="P563" s="143"/>
      <c r="Q563" s="139"/>
      <c r="R563" s="139"/>
      <c r="S563" s="98"/>
      <c r="T563" s="99"/>
    </row>
    <row r="564" spans="3:20" ht="16.5" thickBot="1">
      <c r="C564" s="335"/>
      <c r="D564" s="174"/>
      <c r="E564" s="155"/>
      <c r="F564" s="156"/>
      <c r="G564" s="155"/>
      <c r="H564" s="155"/>
      <c r="I564" s="156"/>
      <c r="J564" s="155"/>
      <c r="K564" s="243"/>
      <c r="L564" s="335"/>
      <c r="M564" s="174"/>
      <c r="N564" s="155"/>
      <c r="O564" s="156"/>
      <c r="P564" s="155"/>
      <c r="Q564" s="155"/>
      <c r="R564" s="156"/>
      <c r="S564" s="155"/>
      <c r="T564" s="243"/>
    </row>
    <row r="565" ht="16.5" thickTop="1"/>
    <row r="567" ht="16.5" thickBot="1"/>
    <row r="568" spans="3:20" ht="16.5" thickTop="1">
      <c r="C568" s="192"/>
      <c r="D568" s="1063" t="s">
        <v>380</v>
      </c>
      <c r="E568" s="1064"/>
      <c r="F568" s="336"/>
      <c r="G568" s="337" t="s">
        <v>368</v>
      </c>
      <c r="H568" s="196"/>
      <c r="I568" s="337"/>
      <c r="J568" s="337"/>
      <c r="K568" s="197"/>
      <c r="L568" s="175"/>
      <c r="M568" s="1061" t="s">
        <v>380</v>
      </c>
      <c r="N568" s="1058"/>
      <c r="O568" s="83"/>
      <c r="P568" s="255" t="s">
        <v>368</v>
      </c>
      <c r="Q568" s="82"/>
      <c r="R568" s="255"/>
      <c r="S568" s="255"/>
      <c r="T568" s="177"/>
    </row>
    <row r="569" spans="3:20" ht="15.75">
      <c r="C569" s="199" t="s">
        <v>366</v>
      </c>
      <c r="D569" s="1065" t="s">
        <v>381</v>
      </c>
      <c r="E569" s="1066"/>
      <c r="F569" s="200" t="s">
        <v>368</v>
      </c>
      <c r="G569" s="200" t="s">
        <v>400</v>
      </c>
      <c r="H569" s="201" t="s">
        <v>401</v>
      </c>
      <c r="I569" s="201" t="s">
        <v>225</v>
      </c>
      <c r="J569" s="201" t="s">
        <v>225</v>
      </c>
      <c r="K569" s="338" t="s">
        <v>225</v>
      </c>
      <c r="L569" s="203" t="s">
        <v>366</v>
      </c>
      <c r="M569" s="1062" t="s">
        <v>381</v>
      </c>
      <c r="N569" s="1060"/>
      <c r="O569" s="204" t="s">
        <v>368</v>
      </c>
      <c r="P569" s="204" t="s">
        <v>400</v>
      </c>
      <c r="Q569" s="205" t="s">
        <v>401</v>
      </c>
      <c r="R569" s="205" t="s">
        <v>225</v>
      </c>
      <c r="S569" s="205" t="s">
        <v>225</v>
      </c>
      <c r="T569" s="256" t="s">
        <v>225</v>
      </c>
    </row>
    <row r="570" spans="3:20" ht="15.75">
      <c r="C570" s="199" t="s">
        <v>402</v>
      </c>
      <c r="D570" s="228" t="s">
        <v>382</v>
      </c>
      <c r="E570" s="228" t="s">
        <v>403</v>
      </c>
      <c r="F570" s="200"/>
      <c r="G570" s="200" t="s">
        <v>404</v>
      </c>
      <c r="H570" s="201" t="s">
        <v>405</v>
      </c>
      <c r="I570" s="201"/>
      <c r="J570" s="201" t="s">
        <v>368</v>
      </c>
      <c r="K570" s="338" t="s">
        <v>328</v>
      </c>
      <c r="L570" s="203" t="s">
        <v>402</v>
      </c>
      <c r="M570" s="68" t="s">
        <v>382</v>
      </c>
      <c r="N570" s="258" t="s">
        <v>403</v>
      </c>
      <c r="O570" s="204"/>
      <c r="P570" s="204" t="s">
        <v>404</v>
      </c>
      <c r="Q570" s="205" t="s">
        <v>405</v>
      </c>
      <c r="R570" s="205"/>
      <c r="S570" s="205" t="s">
        <v>368</v>
      </c>
      <c r="T570" s="256" t="s">
        <v>328</v>
      </c>
    </row>
    <row r="571" spans="3:20" ht="16.5" thickBot="1">
      <c r="C571" s="212"/>
      <c r="D571" s="210" t="s">
        <v>335</v>
      </c>
      <c r="E571" s="210" t="s">
        <v>335</v>
      </c>
      <c r="F571" s="200" t="s">
        <v>371</v>
      </c>
      <c r="G571" s="200" t="s">
        <v>371</v>
      </c>
      <c r="H571" s="201" t="s">
        <v>371</v>
      </c>
      <c r="I571" s="210" t="s">
        <v>360</v>
      </c>
      <c r="J571" s="201" t="s">
        <v>371</v>
      </c>
      <c r="K571" s="338" t="s">
        <v>371</v>
      </c>
      <c r="L571" s="127"/>
      <c r="M571" s="211" t="s">
        <v>335</v>
      </c>
      <c r="N571" s="211" t="s">
        <v>335</v>
      </c>
      <c r="O571" s="204" t="s">
        <v>371</v>
      </c>
      <c r="P571" s="204" t="s">
        <v>371</v>
      </c>
      <c r="Q571" s="205" t="s">
        <v>371</v>
      </c>
      <c r="R571" s="211" t="s">
        <v>360</v>
      </c>
      <c r="S571" s="205" t="s">
        <v>371</v>
      </c>
      <c r="T571" s="256" t="s">
        <v>371</v>
      </c>
    </row>
    <row r="572" spans="3:20" ht="16.5" thickBot="1">
      <c r="C572" s="221" t="s">
        <v>261</v>
      </c>
      <c r="D572" s="223" t="s">
        <v>262</v>
      </c>
      <c r="E572" s="222" t="s">
        <v>263</v>
      </c>
      <c r="F572" s="223" t="s">
        <v>406</v>
      </c>
      <c r="G572" s="222" t="s">
        <v>372</v>
      </c>
      <c r="H572" s="223" t="s">
        <v>407</v>
      </c>
      <c r="I572" s="223" t="s">
        <v>408</v>
      </c>
      <c r="J572" s="223" t="s">
        <v>409</v>
      </c>
      <c r="K572" s="224" t="s">
        <v>344</v>
      </c>
      <c r="L572" s="178" t="s">
        <v>261</v>
      </c>
      <c r="M572" s="179" t="s">
        <v>262</v>
      </c>
      <c r="N572" s="180" t="s">
        <v>263</v>
      </c>
      <c r="O572" s="179" t="s">
        <v>406</v>
      </c>
      <c r="P572" s="180" t="s">
        <v>372</v>
      </c>
      <c r="Q572" s="179" t="s">
        <v>407</v>
      </c>
      <c r="R572" s="179" t="s">
        <v>408</v>
      </c>
      <c r="S572" s="179" t="s">
        <v>409</v>
      </c>
      <c r="T572" s="225" t="s">
        <v>344</v>
      </c>
    </row>
    <row r="573" spans="3:25" ht="15.75">
      <c r="C573" s="306"/>
      <c r="D573" s="228"/>
      <c r="E573" s="227"/>
      <c r="F573" s="228"/>
      <c r="G573" s="227"/>
      <c r="H573" s="228"/>
      <c r="I573" s="228"/>
      <c r="J573" s="228"/>
      <c r="K573" s="339"/>
      <c r="L573" s="138"/>
      <c r="M573" s="165"/>
      <c r="N573" s="75"/>
      <c r="O573" s="165"/>
      <c r="P573" s="75"/>
      <c r="Q573" s="68"/>
      <c r="R573" s="165"/>
      <c r="S573" s="165"/>
      <c r="T573" s="168"/>
      <c r="Y573" t="s">
        <v>288</v>
      </c>
    </row>
    <row r="574" spans="2:26" ht="15.75">
      <c r="B574" s="435">
        <v>39281</v>
      </c>
      <c r="C574" s="226" t="s">
        <v>410</v>
      </c>
      <c r="D574" s="228"/>
      <c r="E574" s="227"/>
      <c r="F574" s="228"/>
      <c r="G574" s="227"/>
      <c r="H574" s="228"/>
      <c r="I574" s="228"/>
      <c r="J574" s="228"/>
      <c r="K574" s="340"/>
      <c r="L574" s="138"/>
      <c r="M574" s="165"/>
      <c r="N574" s="75"/>
      <c r="O574" s="165"/>
      <c r="P574" s="75"/>
      <c r="Q574" s="68"/>
      <c r="R574" s="165"/>
      <c r="S574" s="165"/>
      <c r="T574" s="168"/>
      <c r="Y574" s="248" t="s">
        <v>411</v>
      </c>
      <c r="Z574" s="248" t="s">
        <v>412</v>
      </c>
    </row>
    <row r="575" spans="3:26" ht="15.75">
      <c r="C575" s="226" t="s">
        <v>288</v>
      </c>
      <c r="D575" s="228"/>
      <c r="E575" s="227"/>
      <c r="F575" s="228"/>
      <c r="G575" s="227"/>
      <c r="H575" s="228"/>
      <c r="I575" s="228"/>
      <c r="J575" s="228"/>
      <c r="K575" s="340"/>
      <c r="L575" s="138"/>
      <c r="M575" s="165"/>
      <c r="N575" s="75"/>
      <c r="O575" s="165"/>
      <c r="P575" s="75"/>
      <c r="Q575" s="68"/>
      <c r="R575" s="165"/>
      <c r="S575" s="165"/>
      <c r="T575" s="168"/>
      <c r="Y575" s="68" t="s">
        <v>413</v>
      </c>
      <c r="Z575" s="68" t="s">
        <v>414</v>
      </c>
    </row>
    <row r="576" spans="3:26" ht="15.75">
      <c r="C576" s="249" t="s">
        <v>415</v>
      </c>
      <c r="D576" s="228"/>
      <c r="E576" s="227">
        <v>0.12</v>
      </c>
      <c r="F576" s="228"/>
      <c r="G576" s="227"/>
      <c r="H576" s="228"/>
      <c r="I576" s="228"/>
      <c r="J576" s="228"/>
      <c r="K576" s="340"/>
      <c r="L576" s="138"/>
      <c r="M576" s="165"/>
      <c r="N576" s="75"/>
      <c r="O576" s="165"/>
      <c r="P576" s="75"/>
      <c r="Q576" s="68"/>
      <c r="R576" s="165"/>
      <c r="S576" s="165"/>
      <c r="T576" s="168"/>
      <c r="W576" t="s">
        <v>289</v>
      </c>
      <c r="Y576" s="341"/>
      <c r="Z576" s="341"/>
    </row>
    <row r="577" spans="3:26" ht="15.75">
      <c r="C577" s="342" t="s">
        <v>416</v>
      </c>
      <c r="D577" s="343"/>
      <c r="E577" s="344">
        <v>0.35</v>
      </c>
      <c r="F577" s="343" t="s">
        <v>41</v>
      </c>
      <c r="G577" s="227" t="s">
        <v>41</v>
      </c>
      <c r="H577" s="231" t="s">
        <v>41</v>
      </c>
      <c r="I577" s="228" t="s">
        <v>41</v>
      </c>
      <c r="J577" s="231" t="s">
        <v>41</v>
      </c>
      <c r="K577" s="345"/>
      <c r="L577" s="144"/>
      <c r="M577" s="165"/>
      <c r="N577" s="347"/>
      <c r="O577" s="165"/>
      <c r="P577" s="68"/>
      <c r="Q577" s="165"/>
      <c r="R577" s="68"/>
      <c r="S577" s="165"/>
      <c r="T577" s="164"/>
      <c r="Y577" s="89"/>
      <c r="Z577" s="89"/>
    </row>
    <row r="578" spans="2:26" ht="15.75">
      <c r="B578" s="291">
        <f>D578*I578</f>
        <v>3.5</v>
      </c>
      <c r="C578" s="249" t="s">
        <v>189</v>
      </c>
      <c r="D578" s="231">
        <v>3.5</v>
      </c>
      <c r="E578" s="347">
        <v>4</v>
      </c>
      <c r="F578" s="231">
        <f>E578*D578</f>
        <v>14</v>
      </c>
      <c r="G578" s="167">
        <f>S467</f>
        <v>2.8200000000000003</v>
      </c>
      <c r="H578" s="231">
        <f>F578-G578</f>
        <v>11.18</v>
      </c>
      <c r="I578" s="228">
        <v>1</v>
      </c>
      <c r="J578" s="231">
        <f>I578*H578</f>
        <v>11.18</v>
      </c>
      <c r="K578" s="349"/>
      <c r="L578" s="249"/>
      <c r="M578" s="231"/>
      <c r="N578" s="347"/>
      <c r="O578" s="231"/>
      <c r="P578" s="167"/>
      <c r="Q578" s="231"/>
      <c r="R578" s="228"/>
      <c r="S578" s="231"/>
      <c r="T578" s="164"/>
      <c r="V578" s="291">
        <f>R578*M578</f>
        <v>0</v>
      </c>
      <c r="W578" s="291"/>
      <c r="Y578" s="187">
        <f>J578</f>
        <v>11.18</v>
      </c>
      <c r="Z578" s="187">
        <f>J578</f>
        <v>11.18</v>
      </c>
    </row>
    <row r="579" spans="2:26" ht="15.75">
      <c r="B579" s="291">
        <f aca="true" t="shared" si="55" ref="B579:B600">D579*I579</f>
        <v>3.5</v>
      </c>
      <c r="C579" s="249"/>
      <c r="D579" s="231">
        <v>3.5</v>
      </c>
      <c r="E579" s="347">
        <v>4</v>
      </c>
      <c r="F579" s="231">
        <f aca="true" t="shared" si="56" ref="F579:F592">E579*D579</f>
        <v>14</v>
      </c>
      <c r="G579" s="167">
        <f>S467</f>
        <v>2.8200000000000003</v>
      </c>
      <c r="H579" s="231">
        <f aca="true" t="shared" si="57" ref="H579:H592">F579-G579</f>
        <v>11.18</v>
      </c>
      <c r="I579" s="228">
        <v>1</v>
      </c>
      <c r="J579" s="231">
        <f aca="true" t="shared" si="58" ref="J579:J592">I579*H579</f>
        <v>11.18</v>
      </c>
      <c r="K579" s="349"/>
      <c r="L579" s="249"/>
      <c r="M579" s="231"/>
      <c r="N579" s="347"/>
      <c r="O579" s="231"/>
      <c r="P579" s="68"/>
      <c r="Q579" s="231"/>
      <c r="R579" s="228"/>
      <c r="S579" s="231"/>
      <c r="T579" s="164"/>
      <c r="V579" s="291"/>
      <c r="W579" s="291"/>
      <c r="Y579" s="187"/>
      <c r="Z579" s="187"/>
    </row>
    <row r="580" spans="2:26" ht="15.75">
      <c r="B580" s="291">
        <f t="shared" si="55"/>
        <v>3</v>
      </c>
      <c r="C580" s="249"/>
      <c r="D580" s="231">
        <v>3</v>
      </c>
      <c r="E580" s="347">
        <v>4</v>
      </c>
      <c r="F580" s="231">
        <f t="shared" si="56"/>
        <v>12</v>
      </c>
      <c r="G580" s="167">
        <f>S467</f>
        <v>2.8200000000000003</v>
      </c>
      <c r="H580" s="231">
        <f t="shared" si="57"/>
        <v>9.18</v>
      </c>
      <c r="I580" s="228">
        <v>1</v>
      </c>
      <c r="J580" s="231">
        <f t="shared" si="58"/>
        <v>9.18</v>
      </c>
      <c r="K580" s="349"/>
      <c r="L580" s="249"/>
      <c r="M580" s="231"/>
      <c r="N580" s="347"/>
      <c r="O580" s="231"/>
      <c r="P580" s="167"/>
      <c r="Q580" s="231"/>
      <c r="R580" s="228"/>
      <c r="S580" s="231"/>
      <c r="T580" s="164"/>
      <c r="V580" s="291"/>
      <c r="W580" s="291"/>
      <c r="Y580" s="187"/>
      <c r="Z580" s="187"/>
    </row>
    <row r="581" spans="2:26" ht="15.75">
      <c r="B581" s="291">
        <f t="shared" si="55"/>
        <v>3.6</v>
      </c>
      <c r="C581" s="249" t="s">
        <v>8</v>
      </c>
      <c r="D581" s="231">
        <v>3.6</v>
      </c>
      <c r="E581" s="347">
        <v>4</v>
      </c>
      <c r="F581" s="231">
        <f t="shared" si="56"/>
        <v>14.4</v>
      </c>
      <c r="G581" s="167">
        <f>S476*3</f>
        <v>3.4271999999999996</v>
      </c>
      <c r="H581" s="231">
        <f t="shared" si="57"/>
        <v>10.972800000000001</v>
      </c>
      <c r="I581" s="228">
        <v>1</v>
      </c>
      <c r="J581" s="231">
        <f t="shared" si="58"/>
        <v>10.972800000000001</v>
      </c>
      <c r="K581" s="349"/>
      <c r="L581" s="249"/>
      <c r="M581" s="231"/>
      <c r="N581" s="347"/>
      <c r="O581" s="231"/>
      <c r="P581" s="68"/>
      <c r="Q581" s="231"/>
      <c r="R581" s="228"/>
      <c r="S581" s="231"/>
      <c r="T581" s="164"/>
      <c r="V581" s="291"/>
      <c r="W581" s="291"/>
      <c r="Y581" s="187"/>
      <c r="Z581" s="187"/>
    </row>
    <row r="582" spans="2:26" ht="15.75">
      <c r="B582" s="291">
        <f t="shared" si="55"/>
        <v>3.6</v>
      </c>
      <c r="C582" s="249"/>
      <c r="D582" s="231">
        <v>3.6</v>
      </c>
      <c r="E582" s="347">
        <v>4</v>
      </c>
      <c r="F582" s="231">
        <f t="shared" si="56"/>
        <v>14.4</v>
      </c>
      <c r="G582" s="167">
        <f>S467</f>
        <v>2.8200000000000003</v>
      </c>
      <c r="H582" s="231">
        <f t="shared" si="57"/>
        <v>11.58</v>
      </c>
      <c r="I582" s="228">
        <v>1</v>
      </c>
      <c r="J582" s="231">
        <f t="shared" si="58"/>
        <v>11.58</v>
      </c>
      <c r="K582" s="349"/>
      <c r="L582" s="249"/>
      <c r="M582" s="231"/>
      <c r="N582" s="347"/>
      <c r="O582" s="231"/>
      <c r="P582" s="167"/>
      <c r="Q582" s="231"/>
      <c r="R582" s="228"/>
      <c r="S582" s="231"/>
      <c r="T582" s="164"/>
      <c r="V582" s="291"/>
      <c r="W582" s="291"/>
      <c r="Y582" s="187"/>
      <c r="Z582" s="187"/>
    </row>
    <row r="583" spans="2:26" ht="15.75">
      <c r="B583" s="291">
        <f t="shared" si="55"/>
        <v>3.6</v>
      </c>
      <c r="C583" s="249"/>
      <c r="D583" s="231">
        <v>3.6</v>
      </c>
      <c r="E583" s="347">
        <v>4</v>
      </c>
      <c r="F583" s="231">
        <f t="shared" si="56"/>
        <v>14.4</v>
      </c>
      <c r="G583" s="167">
        <f>S467</f>
        <v>2.8200000000000003</v>
      </c>
      <c r="H583" s="231">
        <f t="shared" si="57"/>
        <v>11.58</v>
      </c>
      <c r="I583" s="228">
        <v>1</v>
      </c>
      <c r="J583" s="231">
        <f t="shared" si="58"/>
        <v>11.58</v>
      </c>
      <c r="K583" s="349"/>
      <c r="L583" s="249"/>
      <c r="M583" s="231"/>
      <c r="N583" s="347"/>
      <c r="O583" s="231"/>
      <c r="P583" s="68"/>
      <c r="Q583" s="231"/>
      <c r="R583" s="228"/>
      <c r="S583" s="231"/>
      <c r="T583" s="164"/>
      <c r="V583" s="291"/>
      <c r="W583" s="291"/>
      <c r="Y583" s="187"/>
      <c r="Z583" s="187"/>
    </row>
    <row r="584" spans="2:26" ht="15.75">
      <c r="B584" s="291">
        <f t="shared" si="55"/>
        <v>3.5</v>
      </c>
      <c r="C584" s="249" t="s">
        <v>309</v>
      </c>
      <c r="D584" s="231">
        <v>3.5</v>
      </c>
      <c r="E584" s="347">
        <v>4</v>
      </c>
      <c r="F584" s="231">
        <f t="shared" si="56"/>
        <v>14</v>
      </c>
      <c r="G584" s="167">
        <f>J480</f>
        <v>4.48</v>
      </c>
      <c r="H584" s="231">
        <f t="shared" si="57"/>
        <v>9.52</v>
      </c>
      <c r="I584" s="228">
        <v>1</v>
      </c>
      <c r="J584" s="231">
        <f t="shared" si="58"/>
        <v>9.52</v>
      </c>
      <c r="K584" s="349"/>
      <c r="L584" s="249"/>
      <c r="M584" s="231"/>
      <c r="N584" s="347"/>
      <c r="O584" s="231"/>
      <c r="P584" s="68"/>
      <c r="Q584" s="231"/>
      <c r="R584" s="228"/>
      <c r="S584" s="231"/>
      <c r="T584" s="164"/>
      <c r="V584" s="291"/>
      <c r="W584" s="291"/>
      <c r="Y584" s="187"/>
      <c r="Z584" s="187"/>
    </row>
    <row r="585" spans="2:26" ht="15.75">
      <c r="B585" s="291">
        <f t="shared" si="55"/>
        <v>1.8</v>
      </c>
      <c r="C585" s="249" t="s">
        <v>581</v>
      </c>
      <c r="D585" s="231">
        <v>1.8</v>
      </c>
      <c r="E585" s="347">
        <v>4</v>
      </c>
      <c r="F585" s="231">
        <f t="shared" si="56"/>
        <v>7.2</v>
      </c>
      <c r="G585" s="167">
        <f>J458</f>
        <v>2.1</v>
      </c>
      <c r="H585" s="231">
        <f t="shared" si="57"/>
        <v>5.1</v>
      </c>
      <c r="I585" s="228">
        <v>1</v>
      </c>
      <c r="J585" s="231">
        <f t="shared" si="58"/>
        <v>5.1</v>
      </c>
      <c r="K585" s="349"/>
      <c r="L585" s="249"/>
      <c r="M585" s="231"/>
      <c r="N585" s="347"/>
      <c r="O585" s="231"/>
      <c r="P585" s="68"/>
      <c r="Q585" s="231"/>
      <c r="R585" s="228"/>
      <c r="S585" s="231"/>
      <c r="T585" s="164"/>
      <c r="V585" s="291"/>
      <c r="W585" s="291"/>
      <c r="Y585" s="187"/>
      <c r="Z585" s="187"/>
    </row>
    <row r="586" spans="2:26" ht="15.75">
      <c r="B586" s="291">
        <f t="shared" si="55"/>
        <v>4.6</v>
      </c>
      <c r="C586" s="249" t="s">
        <v>507</v>
      </c>
      <c r="D586" s="231">
        <v>4.6</v>
      </c>
      <c r="E586" s="347">
        <v>4</v>
      </c>
      <c r="F586" s="231">
        <f t="shared" si="56"/>
        <v>18.4</v>
      </c>
      <c r="G586" s="167">
        <f>J449+S457*2</f>
        <v>14.1698</v>
      </c>
      <c r="H586" s="231">
        <f t="shared" si="57"/>
        <v>4.230199999999998</v>
      </c>
      <c r="I586" s="228">
        <v>1</v>
      </c>
      <c r="J586" s="231">
        <f t="shared" si="58"/>
        <v>4.230199999999998</v>
      </c>
      <c r="K586" s="349"/>
      <c r="L586" s="249"/>
      <c r="M586" s="231"/>
      <c r="N586" s="347"/>
      <c r="O586" s="231"/>
      <c r="P586" s="68"/>
      <c r="Q586" s="231"/>
      <c r="R586" s="228"/>
      <c r="S586" s="231"/>
      <c r="T586" s="164"/>
      <c r="V586" s="291"/>
      <c r="W586" s="291"/>
      <c r="Y586" s="187"/>
      <c r="Z586" s="187"/>
    </row>
    <row r="587" spans="2:26" ht="15.75">
      <c r="B587" s="291">
        <f t="shared" si="55"/>
        <v>1.8</v>
      </c>
      <c r="C587" s="249" t="s">
        <v>582</v>
      </c>
      <c r="D587" s="231">
        <v>1.8</v>
      </c>
      <c r="E587" s="347">
        <v>4</v>
      </c>
      <c r="F587" s="231">
        <f t="shared" si="56"/>
        <v>7.2</v>
      </c>
      <c r="G587" s="167">
        <f>J458</f>
        <v>2.1</v>
      </c>
      <c r="H587" s="231">
        <f t="shared" si="57"/>
        <v>5.1</v>
      </c>
      <c r="I587" s="228">
        <v>1</v>
      </c>
      <c r="J587" s="231">
        <f t="shared" si="58"/>
        <v>5.1</v>
      </c>
      <c r="K587" s="349"/>
      <c r="L587" s="249"/>
      <c r="M587" s="231"/>
      <c r="N587" s="347"/>
      <c r="O587" s="231"/>
      <c r="P587" s="68"/>
      <c r="Q587" s="231"/>
      <c r="R587" s="228"/>
      <c r="S587" s="231"/>
      <c r="T587" s="164"/>
      <c r="V587" s="291"/>
      <c r="W587" s="291"/>
      <c r="Y587" s="187"/>
      <c r="Z587" s="187"/>
    </row>
    <row r="588" spans="2:26" ht="15.75">
      <c r="B588" s="291">
        <f t="shared" si="55"/>
        <v>2.5</v>
      </c>
      <c r="C588" s="249" t="s">
        <v>579</v>
      </c>
      <c r="D588" s="231">
        <v>2.5</v>
      </c>
      <c r="E588" s="347">
        <v>4</v>
      </c>
      <c r="F588" s="231">
        <f t="shared" si="56"/>
        <v>10</v>
      </c>
      <c r="G588" s="167">
        <f>S489</f>
        <v>1.94</v>
      </c>
      <c r="H588" s="231">
        <f t="shared" si="57"/>
        <v>8.06</v>
      </c>
      <c r="I588" s="228">
        <v>1</v>
      </c>
      <c r="J588" s="231">
        <f t="shared" si="58"/>
        <v>8.06</v>
      </c>
      <c r="K588" s="349"/>
      <c r="L588" s="249"/>
      <c r="M588" s="231"/>
      <c r="N588" s="347"/>
      <c r="O588" s="231"/>
      <c r="P588" s="167"/>
      <c r="Q588" s="231"/>
      <c r="R588" s="228"/>
      <c r="S588" s="231"/>
      <c r="T588" s="164"/>
      <c r="V588" s="291"/>
      <c r="W588" s="291"/>
      <c r="Y588" s="187"/>
      <c r="Z588" s="187"/>
    </row>
    <row r="589" spans="2:26" ht="15.75">
      <c r="B589" s="291">
        <f t="shared" si="55"/>
        <v>1.8</v>
      </c>
      <c r="C589" s="249" t="s">
        <v>344</v>
      </c>
      <c r="D589" s="231">
        <v>1.8</v>
      </c>
      <c r="E589" s="347">
        <v>4</v>
      </c>
      <c r="F589" s="231">
        <f t="shared" si="56"/>
        <v>7.2</v>
      </c>
      <c r="G589" s="68">
        <v>0</v>
      </c>
      <c r="H589" s="231">
        <f t="shared" si="57"/>
        <v>7.2</v>
      </c>
      <c r="I589" s="228">
        <v>1</v>
      </c>
      <c r="J589" s="231">
        <f t="shared" si="58"/>
        <v>7.2</v>
      </c>
      <c r="K589" s="349"/>
      <c r="L589" s="249"/>
      <c r="M589" s="270"/>
      <c r="N589" s="347"/>
      <c r="O589" s="231"/>
      <c r="P589" s="68"/>
      <c r="Q589" s="231"/>
      <c r="R589" s="228"/>
      <c r="S589" s="231"/>
      <c r="T589" s="164"/>
      <c r="V589" s="291"/>
      <c r="W589" s="291"/>
      <c r="Y589" s="187"/>
      <c r="Z589" s="187"/>
    </row>
    <row r="590" spans="2:26" ht="15.75">
      <c r="B590" s="291">
        <f t="shared" si="55"/>
        <v>3.45</v>
      </c>
      <c r="C590" s="249"/>
      <c r="D590" s="231">
        <v>3.45</v>
      </c>
      <c r="E590" s="347">
        <v>4</v>
      </c>
      <c r="F590" s="231">
        <f t="shared" si="56"/>
        <v>13.8</v>
      </c>
      <c r="G590" s="68">
        <v>0</v>
      </c>
      <c r="H590" s="231">
        <f t="shared" si="57"/>
        <v>13.8</v>
      </c>
      <c r="I590" s="228">
        <v>1</v>
      </c>
      <c r="J590" s="270">
        <f t="shared" si="58"/>
        <v>13.8</v>
      </c>
      <c r="K590" s="349"/>
      <c r="L590" s="249"/>
      <c r="M590" s="270"/>
      <c r="N590" s="347"/>
      <c r="O590" s="231"/>
      <c r="P590" s="68"/>
      <c r="Q590" s="231"/>
      <c r="R590" s="228"/>
      <c r="S590" s="231"/>
      <c r="T590" s="164"/>
      <c r="V590" s="291"/>
      <c r="W590" s="291"/>
      <c r="Y590" s="187"/>
      <c r="Z590" s="187"/>
    </row>
    <row r="591" spans="2:26" ht="15.75">
      <c r="B591" s="291">
        <f t="shared" si="55"/>
        <v>3</v>
      </c>
      <c r="C591" s="249"/>
      <c r="D591" s="231">
        <v>3</v>
      </c>
      <c r="E591" s="347">
        <v>4</v>
      </c>
      <c r="F591" s="231">
        <f t="shared" si="56"/>
        <v>12</v>
      </c>
      <c r="G591" s="167">
        <f>J468</f>
        <v>2.1</v>
      </c>
      <c r="H591" s="231">
        <f t="shared" si="57"/>
        <v>9.9</v>
      </c>
      <c r="I591" s="228">
        <v>1</v>
      </c>
      <c r="J591" s="231">
        <f t="shared" si="58"/>
        <v>9.9</v>
      </c>
      <c r="K591" s="349"/>
      <c r="L591" s="249"/>
      <c r="M591" s="270"/>
      <c r="N591" s="347"/>
      <c r="O591" s="231"/>
      <c r="P591" s="167"/>
      <c r="Q591" s="231"/>
      <c r="R591" s="228"/>
      <c r="S591" s="231"/>
      <c r="T591" s="164"/>
      <c r="V591" s="291"/>
      <c r="W591" s="291"/>
      <c r="Y591" s="187"/>
      <c r="Z591" s="187"/>
    </row>
    <row r="592" spans="2:26" ht="15.75">
      <c r="B592" s="291">
        <f t="shared" si="55"/>
        <v>2.5</v>
      </c>
      <c r="C592" s="249" t="s">
        <v>580</v>
      </c>
      <c r="D592" s="231">
        <v>2.5</v>
      </c>
      <c r="E592" s="347">
        <v>4</v>
      </c>
      <c r="F592" s="231">
        <f t="shared" si="56"/>
        <v>10</v>
      </c>
      <c r="G592" s="167">
        <f>J468</f>
        <v>2.1</v>
      </c>
      <c r="H592" s="231">
        <f t="shared" si="57"/>
        <v>7.9</v>
      </c>
      <c r="I592" s="228">
        <v>1</v>
      </c>
      <c r="J592" s="270">
        <f t="shared" si="58"/>
        <v>7.9</v>
      </c>
      <c r="K592" s="349"/>
      <c r="L592" s="249"/>
      <c r="M592" s="270"/>
      <c r="N592" s="347"/>
      <c r="O592" s="231"/>
      <c r="P592" s="167"/>
      <c r="Q592" s="231"/>
      <c r="R592" s="228"/>
      <c r="S592" s="231"/>
      <c r="T592" s="164"/>
      <c r="V592" s="291"/>
      <c r="W592" s="291"/>
      <c r="Y592" s="187"/>
      <c r="Z592" s="187"/>
    </row>
    <row r="593" spans="2:26" ht="15.75">
      <c r="B593" s="291">
        <f t="shared" si="55"/>
        <v>2.25</v>
      </c>
      <c r="C593" s="249" t="s">
        <v>583</v>
      </c>
      <c r="D593" s="231">
        <v>2.25</v>
      </c>
      <c r="E593" s="347">
        <v>4</v>
      </c>
      <c r="F593" s="231">
        <f>E593*D593</f>
        <v>9</v>
      </c>
      <c r="G593" s="167">
        <f>J468</f>
        <v>2.1</v>
      </c>
      <c r="H593" s="231">
        <f>F593-G593</f>
        <v>6.9</v>
      </c>
      <c r="I593" s="228">
        <v>1</v>
      </c>
      <c r="J593" s="231">
        <f>I593*H593</f>
        <v>6.9</v>
      </c>
      <c r="K593" s="349"/>
      <c r="L593" s="249"/>
      <c r="M593" s="231"/>
      <c r="N593" s="347"/>
      <c r="O593" s="231"/>
      <c r="P593" s="68"/>
      <c r="Q593" s="231"/>
      <c r="R593" s="228"/>
      <c r="S593" s="231"/>
      <c r="T593" s="346"/>
      <c r="V593" s="291">
        <f>R593*M593</f>
        <v>0</v>
      </c>
      <c r="W593" s="291"/>
      <c r="Y593" s="187">
        <f>J593*2</f>
        <v>13.8</v>
      </c>
      <c r="Z593" s="89"/>
    </row>
    <row r="594" spans="2:26" ht="15.75">
      <c r="B594" s="291">
        <f t="shared" si="55"/>
        <v>2</v>
      </c>
      <c r="C594" s="249" t="s">
        <v>584</v>
      </c>
      <c r="D594" s="231">
        <v>2</v>
      </c>
      <c r="E594" s="347">
        <v>4</v>
      </c>
      <c r="F594" s="231">
        <f>E594*D594</f>
        <v>8</v>
      </c>
      <c r="G594" s="167">
        <f>J468</f>
        <v>2.1</v>
      </c>
      <c r="H594" s="231">
        <f>F594-G594</f>
        <v>5.9</v>
      </c>
      <c r="I594" s="228">
        <v>1</v>
      </c>
      <c r="J594" s="231">
        <f>I594*H594</f>
        <v>5.9</v>
      </c>
      <c r="K594" s="349"/>
      <c r="L594" s="330"/>
      <c r="M594" s="231"/>
      <c r="N594" s="347"/>
      <c r="O594" s="231"/>
      <c r="P594" s="167"/>
      <c r="Q594" s="231"/>
      <c r="R594" s="228"/>
      <c r="S594" s="231"/>
      <c r="T594" s="349"/>
      <c r="V594" s="291">
        <f>R594*M594</f>
        <v>0</v>
      </c>
      <c r="W594" s="291"/>
      <c r="Y594" s="187">
        <f>J594*2</f>
        <v>11.8</v>
      </c>
      <c r="Z594" s="89"/>
    </row>
    <row r="595" spans="2:26" ht="15.75">
      <c r="B595" s="291">
        <f t="shared" si="55"/>
        <v>5.4</v>
      </c>
      <c r="C595" s="69" t="s">
        <v>585</v>
      </c>
      <c r="D595" s="231">
        <v>5.4</v>
      </c>
      <c r="E595" s="347">
        <v>4</v>
      </c>
      <c r="F595" s="231">
        <f>E595*D595</f>
        <v>21.6</v>
      </c>
      <c r="G595" s="68">
        <v>0</v>
      </c>
      <c r="H595" s="165">
        <f>F595-G595</f>
        <v>21.6</v>
      </c>
      <c r="I595" s="228">
        <v>1</v>
      </c>
      <c r="J595" s="165">
        <f>I595*H595</f>
        <v>21.6</v>
      </c>
      <c r="K595" s="349"/>
      <c r="L595" s="107"/>
      <c r="M595" s="231"/>
      <c r="N595" s="347"/>
      <c r="O595" s="231"/>
      <c r="P595" s="68"/>
      <c r="Q595" s="231"/>
      <c r="R595" s="228"/>
      <c r="S595" s="165"/>
      <c r="T595" s="349"/>
      <c r="V595" s="291">
        <f>R595*M595</f>
        <v>0</v>
      </c>
      <c r="W595" s="291"/>
      <c r="Y595" s="187">
        <f>J595*2</f>
        <v>43.2</v>
      </c>
      <c r="Z595" s="89"/>
    </row>
    <row r="596" spans="2:26" ht="15.75">
      <c r="B596" s="291">
        <f t="shared" si="55"/>
        <v>2.5</v>
      </c>
      <c r="C596" s="107"/>
      <c r="D596" s="231">
        <v>2.5</v>
      </c>
      <c r="E596" s="347">
        <v>4</v>
      </c>
      <c r="F596" s="231">
        <f>E596*D596</f>
        <v>10</v>
      </c>
      <c r="G596" s="167">
        <f>J468</f>
        <v>2.1</v>
      </c>
      <c r="H596" s="165">
        <f>F596-G596</f>
        <v>7.9</v>
      </c>
      <c r="I596" s="228">
        <v>1</v>
      </c>
      <c r="J596" s="165">
        <f>I596*H596</f>
        <v>7.9</v>
      </c>
      <c r="K596" s="349"/>
      <c r="L596" s="107"/>
      <c r="M596" s="231"/>
      <c r="N596" s="347"/>
      <c r="O596" s="231"/>
      <c r="P596" s="68"/>
      <c r="Q596" s="231"/>
      <c r="R596" s="228"/>
      <c r="S596" s="165"/>
      <c r="T596" s="349"/>
      <c r="V596" s="291"/>
      <c r="W596" s="291"/>
      <c r="Y596" s="187"/>
      <c r="Z596" s="89"/>
    </row>
    <row r="597" spans="2:26" ht="15.75">
      <c r="B597" s="291">
        <f t="shared" si="55"/>
        <v>3.6</v>
      </c>
      <c r="C597" s="69" t="s">
        <v>343</v>
      </c>
      <c r="D597" s="489">
        <v>3.6</v>
      </c>
      <c r="E597" s="347">
        <v>4</v>
      </c>
      <c r="F597" s="231">
        <f aca="true" t="shared" si="59" ref="F597:F654">E597*D597</f>
        <v>14.4</v>
      </c>
      <c r="G597" s="68">
        <v>0</v>
      </c>
      <c r="H597" s="165">
        <f aca="true" t="shared" si="60" ref="H597:H611">F597-G597</f>
        <v>14.4</v>
      </c>
      <c r="I597" s="228">
        <v>1</v>
      </c>
      <c r="J597" s="165">
        <f aca="true" t="shared" si="61" ref="J597:J611">I597*H597</f>
        <v>14.4</v>
      </c>
      <c r="K597" s="349"/>
      <c r="L597" s="107"/>
      <c r="M597" s="270"/>
      <c r="N597" s="347"/>
      <c r="O597" s="231"/>
      <c r="P597" s="167"/>
      <c r="Q597" s="231"/>
      <c r="R597" s="228"/>
      <c r="S597" s="231"/>
      <c r="T597" s="349"/>
      <c r="V597" s="291"/>
      <c r="W597" s="291"/>
      <c r="Y597" s="187"/>
      <c r="Z597" s="89"/>
    </row>
    <row r="598" spans="2:26" ht="15.75">
      <c r="B598" s="291">
        <f t="shared" si="55"/>
        <v>2.7</v>
      </c>
      <c r="C598" s="107"/>
      <c r="D598" s="270">
        <v>2.7</v>
      </c>
      <c r="E598" s="347">
        <v>4</v>
      </c>
      <c r="F598" s="231">
        <f t="shared" si="59"/>
        <v>10.8</v>
      </c>
      <c r="G598" s="68">
        <v>0</v>
      </c>
      <c r="H598" s="165">
        <f t="shared" si="60"/>
        <v>10.8</v>
      </c>
      <c r="I598" s="228">
        <v>1</v>
      </c>
      <c r="J598" s="165">
        <f t="shared" si="61"/>
        <v>10.8</v>
      </c>
      <c r="K598" s="349"/>
      <c r="L598" s="107"/>
      <c r="M598" s="231"/>
      <c r="N598" s="347"/>
      <c r="O598" s="231"/>
      <c r="P598" s="167"/>
      <c r="Q598" s="231"/>
      <c r="R598" s="228"/>
      <c r="S598" s="231"/>
      <c r="T598" s="349"/>
      <c r="V598" s="291"/>
      <c r="W598" s="291"/>
      <c r="Y598" s="187"/>
      <c r="Z598" s="89"/>
    </row>
    <row r="599" spans="2:26" ht="15.75">
      <c r="B599" s="291">
        <f t="shared" si="55"/>
        <v>3.6</v>
      </c>
      <c r="C599" s="69"/>
      <c r="D599" s="231">
        <v>3.6</v>
      </c>
      <c r="E599" s="347">
        <v>4</v>
      </c>
      <c r="F599" s="231">
        <f t="shared" si="59"/>
        <v>14.4</v>
      </c>
      <c r="G599" s="167">
        <f>J503</f>
        <v>2.7720000000000002</v>
      </c>
      <c r="H599" s="165">
        <f t="shared" si="60"/>
        <v>11.628</v>
      </c>
      <c r="I599" s="228">
        <v>1</v>
      </c>
      <c r="J599" s="165">
        <f t="shared" si="61"/>
        <v>11.628</v>
      </c>
      <c r="K599" s="349"/>
      <c r="L599" s="107"/>
      <c r="M599" s="231"/>
      <c r="N599" s="347"/>
      <c r="O599" s="231"/>
      <c r="P599" s="167"/>
      <c r="Q599" s="231"/>
      <c r="R599" s="228"/>
      <c r="S599" s="231"/>
      <c r="T599" s="349"/>
      <c r="V599" s="291"/>
      <c r="W599" s="291"/>
      <c r="Y599" s="187"/>
      <c r="Z599" s="89"/>
    </row>
    <row r="600" spans="2:26" ht="15.75">
      <c r="B600" s="291">
        <f t="shared" si="55"/>
        <v>5.8</v>
      </c>
      <c r="C600" s="107"/>
      <c r="D600" s="231">
        <v>5.8</v>
      </c>
      <c r="E600" s="347">
        <v>4</v>
      </c>
      <c r="F600" s="231">
        <f t="shared" si="59"/>
        <v>23.2</v>
      </c>
      <c r="G600" s="167">
        <f>J523</f>
        <v>2.1</v>
      </c>
      <c r="H600" s="165">
        <f t="shared" si="60"/>
        <v>21.099999999999998</v>
      </c>
      <c r="I600" s="228">
        <v>1</v>
      </c>
      <c r="J600" s="165">
        <f t="shared" si="61"/>
        <v>21.099999999999998</v>
      </c>
      <c r="K600" s="349"/>
      <c r="L600" s="69"/>
      <c r="M600" s="231"/>
      <c r="N600" s="347"/>
      <c r="O600" s="231"/>
      <c r="P600" s="167"/>
      <c r="Q600" s="231"/>
      <c r="R600" s="228"/>
      <c r="S600" s="231"/>
      <c r="T600" s="349"/>
      <c r="V600" s="291"/>
      <c r="W600" s="291"/>
      <c r="Y600" s="187"/>
      <c r="Z600" s="89"/>
    </row>
    <row r="601" spans="2:26" ht="15.75">
      <c r="B601" s="291">
        <f aca="true" t="shared" si="62" ref="B601:B653">D601*I601</f>
        <v>3.6</v>
      </c>
      <c r="C601" s="107"/>
      <c r="D601" s="270">
        <v>3.6</v>
      </c>
      <c r="E601" s="347">
        <v>4</v>
      </c>
      <c r="F601" s="231">
        <f t="shared" si="59"/>
        <v>14.4</v>
      </c>
      <c r="G601" s="68">
        <v>0</v>
      </c>
      <c r="H601" s="165">
        <f t="shared" si="60"/>
        <v>14.4</v>
      </c>
      <c r="I601" s="228">
        <v>1</v>
      </c>
      <c r="J601" s="165">
        <f t="shared" si="61"/>
        <v>14.4</v>
      </c>
      <c r="K601" s="349"/>
      <c r="L601" s="107"/>
      <c r="M601" s="270"/>
      <c r="N601" s="347"/>
      <c r="O601" s="231"/>
      <c r="P601" s="167"/>
      <c r="Q601" s="231"/>
      <c r="R601" s="228"/>
      <c r="S601" s="231"/>
      <c r="T601" s="349"/>
      <c r="V601" s="291"/>
      <c r="W601" s="291"/>
      <c r="Y601" s="187"/>
      <c r="Z601" s="89"/>
    </row>
    <row r="602" spans="2:26" ht="15.75">
      <c r="B602" s="291">
        <f t="shared" si="62"/>
        <v>2.5</v>
      </c>
      <c r="C602" s="69"/>
      <c r="D602" s="270">
        <v>2.5</v>
      </c>
      <c r="E602" s="347">
        <v>4</v>
      </c>
      <c r="F602" s="231">
        <f t="shared" si="59"/>
        <v>10</v>
      </c>
      <c r="G602" s="68">
        <v>0</v>
      </c>
      <c r="H602" s="165">
        <f t="shared" si="60"/>
        <v>10</v>
      </c>
      <c r="I602" s="228">
        <v>1</v>
      </c>
      <c r="J602" s="165">
        <f t="shared" si="61"/>
        <v>10</v>
      </c>
      <c r="K602" s="349"/>
      <c r="L602" s="69"/>
      <c r="M602" s="270"/>
      <c r="N602" s="347"/>
      <c r="O602" s="231"/>
      <c r="P602" s="167"/>
      <c r="Q602" s="231"/>
      <c r="R602" s="228"/>
      <c r="S602" s="231"/>
      <c r="T602" s="349"/>
      <c r="V602" s="291"/>
      <c r="W602" s="291"/>
      <c r="Y602" s="187"/>
      <c r="Z602" s="89"/>
    </row>
    <row r="603" spans="2:26" ht="15.75">
      <c r="B603" s="291">
        <f t="shared" si="62"/>
        <v>1.8</v>
      </c>
      <c r="C603" s="69" t="s">
        <v>360</v>
      </c>
      <c r="D603" s="489">
        <v>1.8</v>
      </c>
      <c r="E603" s="347">
        <v>4</v>
      </c>
      <c r="F603" s="231">
        <f t="shared" si="59"/>
        <v>7.2</v>
      </c>
      <c r="G603" s="68">
        <v>0</v>
      </c>
      <c r="H603" s="165">
        <f t="shared" si="60"/>
        <v>7.2</v>
      </c>
      <c r="I603" s="228">
        <v>1</v>
      </c>
      <c r="J603" s="165">
        <f t="shared" si="61"/>
        <v>7.2</v>
      </c>
      <c r="K603" s="349"/>
      <c r="L603" s="69"/>
      <c r="M603" s="270"/>
      <c r="N603" s="347"/>
      <c r="O603" s="231"/>
      <c r="P603" s="68"/>
      <c r="Q603" s="231"/>
      <c r="R603" s="228"/>
      <c r="S603" s="231"/>
      <c r="T603" s="349"/>
      <c r="V603" s="291"/>
      <c r="W603" s="291"/>
      <c r="Y603" s="187"/>
      <c r="Z603" s="89"/>
    </row>
    <row r="604" spans="2:26" ht="15.75">
      <c r="B604" s="291">
        <f t="shared" si="62"/>
        <v>3.6</v>
      </c>
      <c r="C604" s="69" t="s">
        <v>586</v>
      </c>
      <c r="D604" s="270">
        <v>3.6</v>
      </c>
      <c r="E604" s="347">
        <v>4</v>
      </c>
      <c r="F604" s="231">
        <f t="shared" si="59"/>
        <v>14.4</v>
      </c>
      <c r="G604" s="167">
        <f>J491</f>
        <v>1.8900000000000001</v>
      </c>
      <c r="H604" s="165">
        <f t="shared" si="60"/>
        <v>12.51</v>
      </c>
      <c r="I604" s="228">
        <v>1</v>
      </c>
      <c r="J604" s="165">
        <f t="shared" si="61"/>
        <v>12.51</v>
      </c>
      <c r="K604" s="349"/>
      <c r="L604" s="107"/>
      <c r="M604" s="231"/>
      <c r="N604" s="347"/>
      <c r="O604" s="231"/>
      <c r="P604" s="68"/>
      <c r="Q604" s="231"/>
      <c r="R604" s="228"/>
      <c r="S604" s="231"/>
      <c r="T604" s="349"/>
      <c r="V604" s="291"/>
      <c r="W604" s="291"/>
      <c r="Y604" s="187"/>
      <c r="Z604" s="89"/>
    </row>
    <row r="605" spans="2:26" ht="15.75">
      <c r="B605" s="291">
        <f t="shared" si="62"/>
        <v>2.5</v>
      </c>
      <c r="C605" s="107"/>
      <c r="D605" s="231">
        <v>2.5</v>
      </c>
      <c r="E605" s="347">
        <v>4</v>
      </c>
      <c r="F605" s="231">
        <f t="shared" si="59"/>
        <v>10</v>
      </c>
      <c r="G605" s="167">
        <f>J468</f>
        <v>2.1</v>
      </c>
      <c r="H605" s="165">
        <f t="shared" si="60"/>
        <v>7.9</v>
      </c>
      <c r="I605" s="228">
        <v>1</v>
      </c>
      <c r="J605" s="165">
        <f t="shared" si="61"/>
        <v>7.9</v>
      </c>
      <c r="K605" s="349"/>
      <c r="L605" s="107"/>
      <c r="M605" s="270"/>
      <c r="N605" s="347"/>
      <c r="O605" s="231"/>
      <c r="P605" s="167"/>
      <c r="Q605" s="231"/>
      <c r="R605" s="228"/>
      <c r="S605" s="231"/>
      <c r="T605" s="349"/>
      <c r="V605" s="291"/>
      <c r="W605" s="291"/>
      <c r="Y605" s="187"/>
      <c r="Z605" s="89"/>
    </row>
    <row r="606" spans="2:26" ht="15.75">
      <c r="B606" s="291">
        <f t="shared" si="62"/>
        <v>6</v>
      </c>
      <c r="C606" s="69" t="s">
        <v>325</v>
      </c>
      <c r="D606" s="231">
        <v>6</v>
      </c>
      <c r="E606" s="347">
        <v>4</v>
      </c>
      <c r="F606" s="231">
        <f t="shared" si="59"/>
        <v>24</v>
      </c>
      <c r="G606" s="167">
        <f>J535</f>
        <v>4.481999999999999</v>
      </c>
      <c r="H606" s="165">
        <f t="shared" si="60"/>
        <v>19.518</v>
      </c>
      <c r="I606" s="228">
        <v>1</v>
      </c>
      <c r="J606" s="165">
        <f t="shared" si="61"/>
        <v>19.518</v>
      </c>
      <c r="K606" s="349"/>
      <c r="L606" s="69"/>
      <c r="M606" s="231"/>
      <c r="N606" s="347"/>
      <c r="O606" s="231"/>
      <c r="P606" s="68"/>
      <c r="Q606" s="231"/>
      <c r="R606" s="228"/>
      <c r="S606" s="231"/>
      <c r="T606" s="349"/>
      <c r="V606" s="291"/>
      <c r="W606" s="291"/>
      <c r="Y606" s="187"/>
      <c r="Z606" s="89"/>
    </row>
    <row r="607" spans="2:26" ht="15.75">
      <c r="B607" s="291">
        <f t="shared" si="62"/>
        <v>1.8</v>
      </c>
      <c r="C607" s="107"/>
      <c r="D607" s="489">
        <v>1.8</v>
      </c>
      <c r="E607" s="347">
        <v>4</v>
      </c>
      <c r="F607" s="231">
        <f t="shared" si="59"/>
        <v>7.2</v>
      </c>
      <c r="G607" s="167">
        <f>J491</f>
        <v>1.8900000000000001</v>
      </c>
      <c r="H607" s="165">
        <f t="shared" si="60"/>
        <v>5.3100000000000005</v>
      </c>
      <c r="I607" s="228">
        <v>1</v>
      </c>
      <c r="J607" s="165">
        <f t="shared" si="61"/>
        <v>5.3100000000000005</v>
      </c>
      <c r="K607" s="349"/>
      <c r="L607" s="107"/>
      <c r="M607" s="231"/>
      <c r="N607" s="347"/>
      <c r="O607" s="231"/>
      <c r="P607" s="167"/>
      <c r="Q607" s="231"/>
      <c r="R607" s="228"/>
      <c r="S607" s="231"/>
      <c r="T607" s="349"/>
      <c r="V607" s="291"/>
      <c r="W607" s="291"/>
      <c r="Y607" s="187"/>
      <c r="Z607" s="89"/>
    </row>
    <row r="608" spans="2:26" ht="15.75">
      <c r="B608" s="291">
        <f t="shared" si="62"/>
        <v>3.6</v>
      </c>
      <c r="C608" s="69"/>
      <c r="D608" s="489">
        <v>3.6</v>
      </c>
      <c r="E608" s="347">
        <v>4</v>
      </c>
      <c r="F608" s="231">
        <f t="shared" si="59"/>
        <v>14.4</v>
      </c>
      <c r="G608" s="167">
        <f>J491*2</f>
        <v>3.7800000000000002</v>
      </c>
      <c r="H608" s="165">
        <f t="shared" si="60"/>
        <v>10.620000000000001</v>
      </c>
      <c r="I608" s="228">
        <v>1</v>
      </c>
      <c r="J608" s="165">
        <f t="shared" si="61"/>
        <v>10.620000000000001</v>
      </c>
      <c r="K608" s="349"/>
      <c r="L608" s="107"/>
      <c r="M608" s="231"/>
      <c r="N608" s="347"/>
      <c r="O608" s="231"/>
      <c r="P608" s="167"/>
      <c r="Q608" s="231"/>
      <c r="R608" s="228"/>
      <c r="S608" s="231"/>
      <c r="T608" s="349"/>
      <c r="V608" s="291"/>
      <c r="W608" s="291"/>
      <c r="Y608" s="187"/>
      <c r="Z608" s="89"/>
    </row>
    <row r="609" spans="2:26" ht="15.75">
      <c r="B609" s="291">
        <f t="shared" si="62"/>
        <v>3.6</v>
      </c>
      <c r="C609" s="69" t="s">
        <v>587</v>
      </c>
      <c r="D609" s="489">
        <v>3.6</v>
      </c>
      <c r="E609" s="347">
        <v>4</v>
      </c>
      <c r="F609" s="231">
        <f t="shared" si="59"/>
        <v>14.4</v>
      </c>
      <c r="G609" s="167">
        <f>S498</f>
        <v>1.2</v>
      </c>
      <c r="H609" s="165">
        <f t="shared" si="60"/>
        <v>13.200000000000001</v>
      </c>
      <c r="I609" s="228">
        <v>1</v>
      </c>
      <c r="J609" s="165">
        <f t="shared" si="61"/>
        <v>13.200000000000001</v>
      </c>
      <c r="K609" s="349"/>
      <c r="L609" s="69"/>
      <c r="M609" s="231"/>
      <c r="N609" s="347"/>
      <c r="O609" s="231"/>
      <c r="P609" s="167"/>
      <c r="Q609" s="231"/>
      <c r="R609" s="228"/>
      <c r="S609" s="231"/>
      <c r="T609" s="349"/>
      <c r="V609" s="291"/>
      <c r="W609" s="291"/>
      <c r="Y609" s="187"/>
      <c r="Z609" s="89"/>
    </row>
    <row r="610" spans="2:26" ht="15.75">
      <c r="B610" s="291">
        <f t="shared" si="62"/>
        <v>1.4</v>
      </c>
      <c r="C610" s="107"/>
      <c r="D610" s="231">
        <v>1.4</v>
      </c>
      <c r="E610" s="347">
        <v>4</v>
      </c>
      <c r="F610" s="231">
        <f t="shared" si="59"/>
        <v>5.6</v>
      </c>
      <c r="G610" s="167">
        <f>J468</f>
        <v>2.1</v>
      </c>
      <c r="H610" s="165">
        <f t="shared" si="60"/>
        <v>3.4999999999999996</v>
      </c>
      <c r="I610" s="228">
        <v>1</v>
      </c>
      <c r="J610" s="165">
        <f t="shared" si="61"/>
        <v>3.4999999999999996</v>
      </c>
      <c r="K610" s="349"/>
      <c r="L610" s="69"/>
      <c r="M610" s="231"/>
      <c r="N610" s="347"/>
      <c r="O610" s="231"/>
      <c r="P610" s="167"/>
      <c r="Q610" s="231"/>
      <c r="R610" s="228"/>
      <c r="S610" s="231"/>
      <c r="T610" s="349"/>
      <c r="V610" s="291"/>
      <c r="W610" s="291"/>
      <c r="Y610" s="187"/>
      <c r="Z610" s="89"/>
    </row>
    <row r="611" spans="2:26" ht="15.75">
      <c r="B611" s="291">
        <f t="shared" si="62"/>
        <v>3.6</v>
      </c>
      <c r="C611" s="69"/>
      <c r="D611" s="489">
        <v>3.6</v>
      </c>
      <c r="E611" s="347">
        <v>4</v>
      </c>
      <c r="F611" s="231">
        <f t="shared" si="59"/>
        <v>14.4</v>
      </c>
      <c r="G611" s="167">
        <f>2*S489</f>
        <v>3.88</v>
      </c>
      <c r="H611" s="165">
        <f t="shared" si="60"/>
        <v>10.52</v>
      </c>
      <c r="I611" s="228">
        <v>1</v>
      </c>
      <c r="J611" s="165">
        <f t="shared" si="61"/>
        <v>10.52</v>
      </c>
      <c r="K611" s="349"/>
      <c r="L611" s="107"/>
      <c r="M611" s="231"/>
      <c r="N611" s="347"/>
      <c r="O611" s="231"/>
      <c r="P611" s="68"/>
      <c r="Q611" s="231"/>
      <c r="R611" s="228"/>
      <c r="S611" s="231"/>
      <c r="T611" s="349"/>
      <c r="V611" s="291"/>
      <c r="W611" s="291"/>
      <c r="Y611" s="187"/>
      <c r="Z611" s="89"/>
    </row>
    <row r="612" spans="2:26" ht="15.75">
      <c r="B612" s="291">
        <f t="shared" si="62"/>
        <v>3.6</v>
      </c>
      <c r="C612" s="69"/>
      <c r="D612" s="231">
        <v>3.6</v>
      </c>
      <c r="E612" s="347">
        <v>4</v>
      </c>
      <c r="F612" s="231">
        <f t="shared" si="59"/>
        <v>14.4</v>
      </c>
      <c r="G612" s="167">
        <f>S467</f>
        <v>2.8200000000000003</v>
      </c>
      <c r="H612" s="165">
        <f aca="true" t="shared" si="63" ref="H612:H654">F612-G612</f>
        <v>11.58</v>
      </c>
      <c r="I612" s="228">
        <v>1</v>
      </c>
      <c r="J612" s="165">
        <f aca="true" t="shared" si="64" ref="J612:J654">I612*H612</f>
        <v>11.58</v>
      </c>
      <c r="K612" s="349"/>
      <c r="L612" s="107"/>
      <c r="M612" s="231"/>
      <c r="N612" s="347"/>
      <c r="O612" s="231"/>
      <c r="P612" s="68"/>
      <c r="Q612" s="231"/>
      <c r="R612" s="228"/>
      <c r="S612" s="231"/>
      <c r="T612" s="349"/>
      <c r="V612" s="291"/>
      <c r="W612" s="291"/>
      <c r="Y612" s="187"/>
      <c r="Z612" s="89"/>
    </row>
    <row r="613" spans="2:26" ht="15.75">
      <c r="B613" s="291">
        <f t="shared" si="62"/>
        <v>2.7</v>
      </c>
      <c r="C613" s="69" t="s">
        <v>588</v>
      </c>
      <c r="D613" s="231">
        <v>2.7</v>
      </c>
      <c r="E613" s="347">
        <v>4</v>
      </c>
      <c r="F613" s="231">
        <f t="shared" si="59"/>
        <v>10.8</v>
      </c>
      <c r="G613" s="167">
        <f>S467</f>
        <v>2.8200000000000003</v>
      </c>
      <c r="H613" s="165">
        <f t="shared" si="63"/>
        <v>7.98</v>
      </c>
      <c r="I613" s="228">
        <v>1</v>
      </c>
      <c r="J613" s="165">
        <f t="shared" si="64"/>
        <v>7.98</v>
      </c>
      <c r="K613" s="349"/>
      <c r="L613" s="107"/>
      <c r="M613" s="231"/>
      <c r="N613" s="347"/>
      <c r="O613" s="231"/>
      <c r="P613" s="68"/>
      <c r="Q613" s="231"/>
      <c r="R613" s="228"/>
      <c r="S613" s="231"/>
      <c r="T613" s="349"/>
      <c r="V613" s="291"/>
      <c r="W613" s="291"/>
      <c r="Y613" s="187"/>
      <c r="Z613" s="89"/>
    </row>
    <row r="614" spans="2:26" ht="15.75">
      <c r="B614" s="291">
        <f t="shared" si="62"/>
        <v>3.6</v>
      </c>
      <c r="C614" s="69"/>
      <c r="D614" s="231">
        <v>3.6</v>
      </c>
      <c r="E614" s="347">
        <v>4</v>
      </c>
      <c r="F614" s="231">
        <f t="shared" si="59"/>
        <v>14.4</v>
      </c>
      <c r="G614" s="167">
        <f>S467*2</f>
        <v>5.640000000000001</v>
      </c>
      <c r="H614" s="165">
        <f t="shared" si="63"/>
        <v>8.76</v>
      </c>
      <c r="I614" s="228">
        <v>1</v>
      </c>
      <c r="J614" s="165">
        <f t="shared" si="64"/>
        <v>8.76</v>
      </c>
      <c r="K614" s="349"/>
      <c r="L614" s="107"/>
      <c r="M614" s="231"/>
      <c r="N614" s="347"/>
      <c r="O614" s="231"/>
      <c r="P614" s="68"/>
      <c r="Q614" s="231"/>
      <c r="R614" s="228"/>
      <c r="S614" s="231"/>
      <c r="T614" s="349"/>
      <c r="V614" s="291"/>
      <c r="W614" s="291"/>
      <c r="Y614" s="187"/>
      <c r="Z614" s="89"/>
    </row>
    <row r="615" spans="2:26" ht="15.75">
      <c r="B615" s="291">
        <f t="shared" si="62"/>
        <v>4.2</v>
      </c>
      <c r="C615" s="69"/>
      <c r="D615" s="231">
        <v>4.2</v>
      </c>
      <c r="E615" s="347">
        <v>4</v>
      </c>
      <c r="F615" s="231">
        <f t="shared" si="59"/>
        <v>16.8</v>
      </c>
      <c r="G615" s="167">
        <f>2*S467</f>
        <v>5.640000000000001</v>
      </c>
      <c r="H615" s="165">
        <f t="shared" si="63"/>
        <v>11.16</v>
      </c>
      <c r="I615" s="228">
        <v>1</v>
      </c>
      <c r="J615" s="165">
        <f t="shared" si="64"/>
        <v>11.16</v>
      </c>
      <c r="K615" s="349"/>
      <c r="L615" s="107"/>
      <c r="M615" s="231"/>
      <c r="N615" s="347"/>
      <c r="O615" s="231"/>
      <c r="P615" s="68"/>
      <c r="Q615" s="231"/>
      <c r="R615" s="228"/>
      <c r="S615" s="231"/>
      <c r="T615" s="349"/>
      <c r="V615" s="291"/>
      <c r="W615" s="291"/>
      <c r="Y615" s="187"/>
      <c r="Z615" s="89"/>
    </row>
    <row r="616" spans="2:26" ht="15.75">
      <c r="B616" s="291">
        <f t="shared" si="62"/>
        <v>1.8</v>
      </c>
      <c r="C616" s="69"/>
      <c r="D616" s="489">
        <v>1.8</v>
      </c>
      <c r="E616" s="347">
        <v>4</v>
      </c>
      <c r="F616" s="231">
        <f t="shared" si="59"/>
        <v>7.2</v>
      </c>
      <c r="G616" s="167">
        <f>S489</f>
        <v>1.94</v>
      </c>
      <c r="H616" s="165">
        <f t="shared" si="63"/>
        <v>5.26</v>
      </c>
      <c r="I616" s="228">
        <v>1</v>
      </c>
      <c r="J616" s="165">
        <f t="shared" si="64"/>
        <v>5.26</v>
      </c>
      <c r="K616" s="349"/>
      <c r="L616" s="107"/>
      <c r="M616" s="231"/>
      <c r="N616" s="347"/>
      <c r="O616" s="231"/>
      <c r="P616" s="68"/>
      <c r="Q616" s="231"/>
      <c r="R616" s="228"/>
      <c r="S616" s="231"/>
      <c r="T616" s="349"/>
      <c r="V616" s="291"/>
      <c r="W616" s="291"/>
      <c r="Y616" s="187"/>
      <c r="Z616" s="89"/>
    </row>
    <row r="617" spans="2:26" ht="15.75">
      <c r="B617" s="291"/>
      <c r="C617" s="69"/>
      <c r="D617" s="231"/>
      <c r="E617" s="347"/>
      <c r="F617" s="231"/>
      <c r="G617" s="68"/>
      <c r="H617" s="165"/>
      <c r="I617" s="228"/>
      <c r="J617" s="165"/>
      <c r="K617" s="349"/>
      <c r="L617" s="107"/>
      <c r="M617" s="231"/>
      <c r="N617" s="347"/>
      <c r="O617" s="231"/>
      <c r="P617" s="68"/>
      <c r="Q617" s="231"/>
      <c r="R617" s="228"/>
      <c r="S617" s="231"/>
      <c r="T617" s="349"/>
      <c r="V617" s="291"/>
      <c r="W617" s="291"/>
      <c r="Y617" s="187"/>
      <c r="Z617" s="89"/>
    </row>
    <row r="618" spans="2:26" ht="15.75">
      <c r="B618" s="291">
        <f t="shared" si="62"/>
        <v>3.5</v>
      </c>
      <c r="C618" s="69">
        <v>1</v>
      </c>
      <c r="D618" s="231">
        <v>3.5</v>
      </c>
      <c r="E618" s="347">
        <v>4</v>
      </c>
      <c r="F618" s="231">
        <f t="shared" si="59"/>
        <v>14</v>
      </c>
      <c r="G618" s="167">
        <f>3*S476</f>
        <v>3.4271999999999996</v>
      </c>
      <c r="H618" s="165">
        <f t="shared" si="63"/>
        <v>10.5728</v>
      </c>
      <c r="I618" s="228">
        <v>1</v>
      </c>
      <c r="J618" s="165">
        <f t="shared" si="64"/>
        <v>10.5728</v>
      </c>
      <c r="K618" s="349"/>
      <c r="L618" s="107"/>
      <c r="M618" s="231"/>
      <c r="N618" s="347"/>
      <c r="O618" s="231"/>
      <c r="P618" s="68"/>
      <c r="Q618" s="231"/>
      <c r="R618" s="228"/>
      <c r="S618" s="231"/>
      <c r="T618" s="349"/>
      <c r="V618" s="291"/>
      <c r="W618" s="291"/>
      <c r="Y618" s="187"/>
      <c r="Z618" s="89"/>
    </row>
    <row r="619" spans="2:26" ht="15.75">
      <c r="B619" s="291">
        <f t="shared" si="62"/>
        <v>3.5</v>
      </c>
      <c r="C619" s="69"/>
      <c r="D619" s="489">
        <v>3.5</v>
      </c>
      <c r="E619" s="347">
        <v>4</v>
      </c>
      <c r="F619" s="231">
        <f t="shared" si="59"/>
        <v>14</v>
      </c>
      <c r="G619" s="167">
        <f>S498</f>
        <v>1.2</v>
      </c>
      <c r="H619" s="165">
        <f t="shared" si="63"/>
        <v>12.8</v>
      </c>
      <c r="I619" s="228">
        <v>1</v>
      </c>
      <c r="J619" s="165">
        <f t="shared" si="64"/>
        <v>12.8</v>
      </c>
      <c r="K619" s="349"/>
      <c r="L619" s="107"/>
      <c r="M619" s="231"/>
      <c r="N619" s="347"/>
      <c r="O619" s="231"/>
      <c r="P619" s="68"/>
      <c r="Q619" s="231"/>
      <c r="R619" s="228"/>
      <c r="S619" s="231"/>
      <c r="T619" s="349"/>
      <c r="V619" s="291"/>
      <c r="W619" s="291"/>
      <c r="Y619" s="187"/>
      <c r="Z619" s="89"/>
    </row>
    <row r="620" spans="2:26" ht="15.75">
      <c r="B620" s="291">
        <f t="shared" si="62"/>
        <v>3.5</v>
      </c>
      <c r="C620" s="69">
        <v>2</v>
      </c>
      <c r="D620" s="489">
        <v>3.5</v>
      </c>
      <c r="E620" s="347">
        <v>4</v>
      </c>
      <c r="F620" s="231">
        <f t="shared" si="59"/>
        <v>14</v>
      </c>
      <c r="G620" s="167">
        <f>2*J491</f>
        <v>3.7800000000000002</v>
      </c>
      <c r="H620" s="165">
        <f t="shared" si="63"/>
        <v>10.219999999999999</v>
      </c>
      <c r="I620" s="228">
        <v>1</v>
      </c>
      <c r="J620" s="165">
        <f t="shared" si="64"/>
        <v>10.219999999999999</v>
      </c>
      <c r="K620" s="349"/>
      <c r="L620" s="107"/>
      <c r="M620" s="231"/>
      <c r="N620" s="347"/>
      <c r="O620" s="231"/>
      <c r="P620" s="68"/>
      <c r="Q620" s="231"/>
      <c r="R620" s="228"/>
      <c r="S620" s="231"/>
      <c r="T620" s="349"/>
      <c r="V620" s="291"/>
      <c r="W620" s="291"/>
      <c r="Y620" s="187"/>
      <c r="Z620" s="89"/>
    </row>
    <row r="621" spans="2:26" ht="15.75">
      <c r="B621" s="291">
        <f t="shared" si="62"/>
        <v>6</v>
      </c>
      <c r="C621" s="69">
        <v>3</v>
      </c>
      <c r="D621" s="231">
        <v>6</v>
      </c>
      <c r="E621" s="347">
        <v>4</v>
      </c>
      <c r="F621" s="231">
        <f t="shared" si="59"/>
        <v>24</v>
      </c>
      <c r="G621" s="167">
        <f>J449+S443*2</f>
        <v>16.849</v>
      </c>
      <c r="H621" s="165">
        <f t="shared" si="63"/>
        <v>7.151</v>
      </c>
      <c r="I621" s="228">
        <v>1</v>
      </c>
      <c r="J621" s="165">
        <f t="shared" si="64"/>
        <v>7.151</v>
      </c>
      <c r="K621" s="349"/>
      <c r="L621" s="107"/>
      <c r="M621" s="231"/>
      <c r="N621" s="347"/>
      <c r="O621" s="231"/>
      <c r="P621" s="68"/>
      <c r="Q621" s="231"/>
      <c r="R621" s="228"/>
      <c r="S621" s="231"/>
      <c r="T621" s="349"/>
      <c r="V621" s="291"/>
      <c r="W621" s="291"/>
      <c r="Y621" s="187"/>
      <c r="Z621" s="89"/>
    </row>
    <row r="622" spans="2:26" ht="15.75">
      <c r="B622" s="291">
        <f t="shared" si="62"/>
        <v>1.75</v>
      </c>
      <c r="C622" s="69">
        <v>4</v>
      </c>
      <c r="D622" s="489">
        <v>1.75</v>
      </c>
      <c r="E622" s="347">
        <v>4</v>
      </c>
      <c r="F622" s="231">
        <f t="shared" si="59"/>
        <v>7</v>
      </c>
      <c r="G622" s="167">
        <f>J491</f>
        <v>1.8900000000000001</v>
      </c>
      <c r="H622" s="165">
        <f t="shared" si="63"/>
        <v>5.109999999999999</v>
      </c>
      <c r="I622" s="228">
        <v>1</v>
      </c>
      <c r="J622" s="165">
        <f t="shared" si="64"/>
        <v>5.109999999999999</v>
      </c>
      <c r="K622" s="349"/>
      <c r="L622" s="107"/>
      <c r="M622" s="231"/>
      <c r="N622" s="347"/>
      <c r="O622" s="231"/>
      <c r="P622" s="68"/>
      <c r="Q622" s="231"/>
      <c r="R622" s="228"/>
      <c r="S622" s="231"/>
      <c r="T622" s="349"/>
      <c r="V622" s="291"/>
      <c r="W622" s="291"/>
      <c r="Y622" s="187"/>
      <c r="Z622" s="89"/>
    </row>
    <row r="623" spans="2:26" ht="15.75">
      <c r="B623" s="291">
        <f t="shared" si="62"/>
        <v>1.35</v>
      </c>
      <c r="C623" s="69">
        <v>5</v>
      </c>
      <c r="D623" s="231">
        <f>0.9*1.5</f>
        <v>1.35</v>
      </c>
      <c r="E623" s="347">
        <v>4</v>
      </c>
      <c r="F623" s="231">
        <f t="shared" si="59"/>
        <v>5.4</v>
      </c>
      <c r="G623" s="68">
        <v>0</v>
      </c>
      <c r="H623" s="165">
        <f t="shared" si="63"/>
        <v>5.4</v>
      </c>
      <c r="I623" s="228">
        <v>1</v>
      </c>
      <c r="J623" s="165">
        <f t="shared" si="64"/>
        <v>5.4</v>
      </c>
      <c r="K623" s="349"/>
      <c r="L623" s="107"/>
      <c r="M623" s="231"/>
      <c r="N623" s="347"/>
      <c r="O623" s="231"/>
      <c r="P623" s="68"/>
      <c r="Q623" s="231"/>
      <c r="R623" s="228"/>
      <c r="S623" s="231"/>
      <c r="T623" s="349"/>
      <c r="V623" s="291"/>
      <c r="W623" s="291"/>
      <c r="Y623" s="187"/>
      <c r="Z623" s="89"/>
    </row>
    <row r="624" spans="2:26" ht="15.75">
      <c r="B624" s="291">
        <f t="shared" si="62"/>
        <v>3.5</v>
      </c>
      <c r="C624" s="69"/>
      <c r="D624" s="489">
        <v>3.5</v>
      </c>
      <c r="E624" s="347">
        <v>4</v>
      </c>
      <c r="F624" s="231">
        <f t="shared" si="59"/>
        <v>14</v>
      </c>
      <c r="G624" s="167">
        <f>J491</f>
        <v>1.8900000000000001</v>
      </c>
      <c r="H624" s="165">
        <f t="shared" si="63"/>
        <v>12.11</v>
      </c>
      <c r="I624" s="228">
        <v>1</v>
      </c>
      <c r="J624" s="165">
        <f t="shared" si="64"/>
        <v>12.11</v>
      </c>
      <c r="K624" s="349"/>
      <c r="L624" s="107"/>
      <c r="M624" s="231"/>
      <c r="N624" s="347"/>
      <c r="O624" s="231"/>
      <c r="P624" s="68"/>
      <c r="Q624" s="231"/>
      <c r="R624" s="228"/>
      <c r="S624" s="231"/>
      <c r="T624" s="349"/>
      <c r="V624" s="291"/>
      <c r="W624" s="291"/>
      <c r="Y624" s="187"/>
      <c r="Z624" s="89"/>
    </row>
    <row r="625" spans="2:26" ht="15.75">
      <c r="B625" s="291">
        <f t="shared" si="62"/>
        <v>1.2000000000000002</v>
      </c>
      <c r="C625" s="490" t="s">
        <v>589</v>
      </c>
      <c r="D625" s="231">
        <f>0.8*1.5</f>
        <v>1.2000000000000002</v>
      </c>
      <c r="E625" s="347">
        <v>4</v>
      </c>
      <c r="F625" s="231">
        <f t="shared" si="59"/>
        <v>4.800000000000001</v>
      </c>
      <c r="G625" s="68">
        <v>0</v>
      </c>
      <c r="H625" s="165">
        <f t="shared" si="63"/>
        <v>4.800000000000001</v>
      </c>
      <c r="I625" s="228">
        <v>1</v>
      </c>
      <c r="J625" s="165">
        <f t="shared" si="64"/>
        <v>4.800000000000001</v>
      </c>
      <c r="K625" s="349"/>
      <c r="L625" s="107"/>
      <c r="M625" s="231"/>
      <c r="N625" s="347"/>
      <c r="O625" s="231"/>
      <c r="P625" s="68"/>
      <c r="Q625" s="231"/>
      <c r="R625" s="228"/>
      <c r="S625" s="231"/>
      <c r="T625" s="349"/>
      <c r="V625" s="291"/>
      <c r="W625" s="291"/>
      <c r="Y625" s="187"/>
      <c r="Z625" s="89"/>
    </row>
    <row r="626" spans="2:26" ht="15.75">
      <c r="B626" s="291">
        <f t="shared" si="62"/>
        <v>1</v>
      </c>
      <c r="C626" s="69">
        <v>9</v>
      </c>
      <c r="D626" s="231">
        <v>1</v>
      </c>
      <c r="E626" s="347">
        <v>4</v>
      </c>
      <c r="F626" s="231">
        <f t="shared" si="59"/>
        <v>4</v>
      </c>
      <c r="G626" s="68">
        <v>0</v>
      </c>
      <c r="H626" s="165">
        <f t="shared" si="63"/>
        <v>4</v>
      </c>
      <c r="I626" s="228">
        <v>1</v>
      </c>
      <c r="J626" s="165">
        <f t="shared" si="64"/>
        <v>4</v>
      </c>
      <c r="K626" s="349"/>
      <c r="L626" s="107"/>
      <c r="M626" s="231"/>
      <c r="N626" s="347"/>
      <c r="O626" s="231"/>
      <c r="P626" s="68"/>
      <c r="Q626" s="231"/>
      <c r="R626" s="228"/>
      <c r="S626" s="231"/>
      <c r="T626" s="349"/>
      <c r="V626" s="291"/>
      <c r="W626" s="291"/>
      <c r="Y626" s="187"/>
      <c r="Z626" s="89"/>
    </row>
    <row r="627" spans="2:26" ht="15.75">
      <c r="B627" s="291">
        <f t="shared" si="62"/>
        <v>1</v>
      </c>
      <c r="C627" s="69"/>
      <c r="D627" s="231">
        <v>1</v>
      </c>
      <c r="E627" s="347">
        <v>4</v>
      </c>
      <c r="F627" s="231">
        <f t="shared" si="59"/>
        <v>4</v>
      </c>
      <c r="G627" s="68">
        <v>0</v>
      </c>
      <c r="H627" s="165">
        <f t="shared" si="63"/>
        <v>4</v>
      </c>
      <c r="I627" s="228">
        <v>1</v>
      </c>
      <c r="J627" s="165">
        <f t="shared" si="64"/>
        <v>4</v>
      </c>
      <c r="K627" s="349"/>
      <c r="L627" s="107"/>
      <c r="M627" s="231"/>
      <c r="N627" s="347"/>
      <c r="O627" s="231"/>
      <c r="P627" s="68"/>
      <c r="Q627" s="231"/>
      <c r="R627" s="228"/>
      <c r="S627" s="231"/>
      <c r="T627" s="349"/>
      <c r="V627" s="291"/>
      <c r="W627" s="291"/>
      <c r="Y627" s="187"/>
      <c r="Z627" s="89"/>
    </row>
    <row r="628" spans="2:26" ht="15.75">
      <c r="B628" s="291">
        <f t="shared" si="62"/>
        <v>1</v>
      </c>
      <c r="C628" s="69"/>
      <c r="D628" s="231">
        <v>1</v>
      </c>
      <c r="E628" s="347">
        <v>4</v>
      </c>
      <c r="F628" s="231">
        <f t="shared" si="59"/>
        <v>4</v>
      </c>
      <c r="G628" s="68">
        <v>0</v>
      </c>
      <c r="H628" s="165">
        <f t="shared" si="63"/>
        <v>4</v>
      </c>
      <c r="I628" s="228">
        <v>1</v>
      </c>
      <c r="J628" s="165">
        <f t="shared" si="64"/>
        <v>4</v>
      </c>
      <c r="K628" s="349"/>
      <c r="L628" s="107"/>
      <c r="M628" s="231"/>
      <c r="N628" s="347"/>
      <c r="O628" s="231"/>
      <c r="P628" s="68"/>
      <c r="Q628" s="231"/>
      <c r="R628" s="228"/>
      <c r="S628" s="231"/>
      <c r="T628" s="349"/>
      <c r="V628" s="291"/>
      <c r="W628" s="291"/>
      <c r="Y628" s="187"/>
      <c r="Z628" s="89"/>
    </row>
    <row r="629" spans="2:26" ht="15.75">
      <c r="B629" s="291">
        <f t="shared" si="62"/>
        <v>6</v>
      </c>
      <c r="C629" s="69">
        <v>10</v>
      </c>
      <c r="D629" s="231">
        <v>6</v>
      </c>
      <c r="E629" s="347">
        <v>4</v>
      </c>
      <c r="F629" s="231">
        <f t="shared" si="59"/>
        <v>24</v>
      </c>
      <c r="G629" s="68">
        <v>0</v>
      </c>
      <c r="H629" s="165">
        <f t="shared" si="63"/>
        <v>24</v>
      </c>
      <c r="I629" s="228">
        <v>1</v>
      </c>
      <c r="J629" s="165">
        <f t="shared" si="64"/>
        <v>24</v>
      </c>
      <c r="K629" s="349"/>
      <c r="L629" s="107"/>
      <c r="M629" s="231"/>
      <c r="N629" s="347"/>
      <c r="O629" s="231"/>
      <c r="P629" s="68"/>
      <c r="Q629" s="231"/>
      <c r="R629" s="228"/>
      <c r="S629" s="231"/>
      <c r="T629" s="349"/>
      <c r="V629" s="291"/>
      <c r="W629" s="291"/>
      <c r="Y629" s="187"/>
      <c r="Z629" s="89"/>
    </row>
    <row r="630" spans="2:26" ht="15.75">
      <c r="B630" s="291">
        <f t="shared" si="62"/>
        <v>1.5</v>
      </c>
      <c r="C630" s="69"/>
      <c r="D630" s="231">
        <v>1.5</v>
      </c>
      <c r="E630" s="347">
        <v>4</v>
      </c>
      <c r="F630" s="231">
        <f>E630*D630</f>
        <v>6</v>
      </c>
      <c r="G630" s="167">
        <f>J514</f>
        <v>2.625</v>
      </c>
      <c r="H630" s="165">
        <f t="shared" si="63"/>
        <v>3.375</v>
      </c>
      <c r="I630" s="228">
        <v>1</v>
      </c>
      <c r="J630" s="165">
        <f t="shared" si="64"/>
        <v>3.375</v>
      </c>
      <c r="K630" s="349"/>
      <c r="L630" s="107"/>
      <c r="M630" s="231"/>
      <c r="N630" s="347"/>
      <c r="O630" s="231"/>
      <c r="P630" s="68"/>
      <c r="Q630" s="231"/>
      <c r="R630" s="228"/>
      <c r="S630" s="231"/>
      <c r="T630" s="349"/>
      <c r="V630" s="291"/>
      <c r="W630" s="291"/>
      <c r="Y630" s="187"/>
      <c r="Z630" s="89"/>
    </row>
    <row r="631" spans="2:26" ht="15.75">
      <c r="B631" s="291">
        <f t="shared" si="62"/>
        <v>4.5</v>
      </c>
      <c r="C631" s="69">
        <v>11</v>
      </c>
      <c r="D631" s="231">
        <v>4.5</v>
      </c>
      <c r="E631" s="347">
        <v>4</v>
      </c>
      <c r="F631" s="231">
        <f t="shared" si="59"/>
        <v>18</v>
      </c>
      <c r="G631" s="68">
        <v>0</v>
      </c>
      <c r="H631" s="165">
        <f t="shared" si="63"/>
        <v>18</v>
      </c>
      <c r="I631" s="228">
        <v>1</v>
      </c>
      <c r="J631" s="165">
        <f t="shared" si="64"/>
        <v>18</v>
      </c>
      <c r="K631" s="349"/>
      <c r="L631" s="107"/>
      <c r="M631" s="231"/>
      <c r="N631" s="347"/>
      <c r="O631" s="231"/>
      <c r="P631" s="68"/>
      <c r="Q631" s="231"/>
      <c r="R631" s="228"/>
      <c r="S631" s="231"/>
      <c r="T631" s="349"/>
      <c r="V631" s="291"/>
      <c r="W631" s="291"/>
      <c r="Y631" s="187"/>
      <c r="Z631" s="89"/>
    </row>
    <row r="632" spans="2:26" ht="15.75">
      <c r="B632" s="291">
        <f t="shared" si="62"/>
        <v>4.5</v>
      </c>
      <c r="C632" s="69">
        <v>12</v>
      </c>
      <c r="D632" s="231">
        <v>4.5</v>
      </c>
      <c r="E632" s="347">
        <v>4</v>
      </c>
      <c r="F632" s="231">
        <f t="shared" si="59"/>
        <v>18</v>
      </c>
      <c r="G632" s="167">
        <f>J468</f>
        <v>2.1</v>
      </c>
      <c r="H632" s="165">
        <f t="shared" si="63"/>
        <v>15.9</v>
      </c>
      <c r="I632" s="228">
        <v>1</v>
      </c>
      <c r="J632" s="165">
        <f t="shared" si="64"/>
        <v>15.9</v>
      </c>
      <c r="K632" s="349"/>
      <c r="L632" s="107"/>
      <c r="M632" s="231"/>
      <c r="N632" s="347"/>
      <c r="O632" s="231"/>
      <c r="P632" s="68"/>
      <c r="Q632" s="231"/>
      <c r="R632" s="228"/>
      <c r="S632" s="231"/>
      <c r="T632" s="349"/>
      <c r="V632" s="291"/>
      <c r="W632" s="291"/>
      <c r="Y632" s="187"/>
      <c r="Z632" s="89"/>
    </row>
    <row r="633" spans="2:26" ht="15.75">
      <c r="B633" s="291">
        <f t="shared" si="62"/>
        <v>3</v>
      </c>
      <c r="C633" s="69">
        <v>13</v>
      </c>
      <c r="D633" s="231">
        <v>3</v>
      </c>
      <c r="E633" s="347">
        <v>4</v>
      </c>
      <c r="F633" s="231">
        <f t="shared" si="59"/>
        <v>12</v>
      </c>
      <c r="G633" s="68">
        <v>0</v>
      </c>
      <c r="H633" s="165">
        <f t="shared" si="63"/>
        <v>12</v>
      </c>
      <c r="I633" s="228">
        <v>1</v>
      </c>
      <c r="J633" s="165">
        <f t="shared" si="64"/>
        <v>12</v>
      </c>
      <c r="K633" s="349"/>
      <c r="L633" s="107"/>
      <c r="M633" s="231"/>
      <c r="N633" s="347"/>
      <c r="O633" s="231"/>
      <c r="P633" s="68"/>
      <c r="Q633" s="231"/>
      <c r="R633" s="228"/>
      <c r="S633" s="231"/>
      <c r="T633" s="349"/>
      <c r="V633" s="291"/>
      <c r="W633" s="291"/>
      <c r="Y633" s="187"/>
      <c r="Z633" s="89"/>
    </row>
    <row r="634" spans="2:26" ht="15.75">
      <c r="B634" s="291">
        <f t="shared" si="62"/>
        <v>4.5</v>
      </c>
      <c r="C634" s="69">
        <v>14</v>
      </c>
      <c r="D634" s="231">
        <v>4.5</v>
      </c>
      <c r="E634" s="347">
        <v>4</v>
      </c>
      <c r="F634" s="231">
        <f t="shared" si="59"/>
        <v>18</v>
      </c>
      <c r="G634" s="167">
        <f>J468</f>
        <v>2.1</v>
      </c>
      <c r="H634" s="165">
        <f t="shared" si="63"/>
        <v>15.9</v>
      </c>
      <c r="I634" s="228">
        <v>1</v>
      </c>
      <c r="J634" s="165">
        <f t="shared" si="64"/>
        <v>15.9</v>
      </c>
      <c r="K634" s="349"/>
      <c r="L634" s="107"/>
      <c r="M634" s="231"/>
      <c r="N634" s="347"/>
      <c r="O634" s="231"/>
      <c r="P634" s="68"/>
      <c r="Q634" s="231"/>
      <c r="R634" s="228"/>
      <c r="S634" s="231"/>
      <c r="T634" s="349"/>
      <c r="V634" s="291"/>
      <c r="W634" s="291"/>
      <c r="Y634" s="187"/>
      <c r="Z634" s="89"/>
    </row>
    <row r="635" spans="2:26" ht="15.75">
      <c r="B635" s="291">
        <f t="shared" si="62"/>
        <v>4.5</v>
      </c>
      <c r="C635" s="69">
        <v>15</v>
      </c>
      <c r="D635" s="231">
        <v>4.5</v>
      </c>
      <c r="E635" s="347">
        <v>4</v>
      </c>
      <c r="F635" s="231">
        <f t="shared" si="59"/>
        <v>18</v>
      </c>
      <c r="G635" s="68">
        <v>0</v>
      </c>
      <c r="H635" s="165">
        <f t="shared" si="63"/>
        <v>18</v>
      </c>
      <c r="I635" s="228">
        <v>1</v>
      </c>
      <c r="J635" s="165">
        <f t="shared" si="64"/>
        <v>18</v>
      </c>
      <c r="K635" s="349"/>
      <c r="L635" s="107"/>
      <c r="M635" s="231"/>
      <c r="N635" s="347"/>
      <c r="O635" s="231"/>
      <c r="P635" s="68"/>
      <c r="Q635" s="231"/>
      <c r="R635" s="228"/>
      <c r="S635" s="231"/>
      <c r="T635" s="349"/>
      <c r="V635" s="291"/>
      <c r="W635" s="291"/>
      <c r="Y635" s="187"/>
      <c r="Z635" s="89"/>
    </row>
    <row r="636" spans="2:26" ht="15.75">
      <c r="B636" s="291">
        <f t="shared" si="62"/>
        <v>3</v>
      </c>
      <c r="C636" s="69"/>
      <c r="D636" s="231">
        <v>3</v>
      </c>
      <c r="E636" s="347">
        <v>4</v>
      </c>
      <c r="F636" s="231">
        <f t="shared" si="59"/>
        <v>12</v>
      </c>
      <c r="G636" s="68">
        <v>0</v>
      </c>
      <c r="H636" s="165">
        <f t="shared" si="63"/>
        <v>12</v>
      </c>
      <c r="I636" s="228">
        <v>1</v>
      </c>
      <c r="J636" s="165">
        <f t="shared" si="64"/>
        <v>12</v>
      </c>
      <c r="K636" s="349"/>
      <c r="L636" s="107"/>
      <c r="M636" s="231"/>
      <c r="N636" s="347"/>
      <c r="O636" s="231"/>
      <c r="P636" s="68"/>
      <c r="Q636" s="231"/>
      <c r="R636" s="228"/>
      <c r="S636" s="231"/>
      <c r="T636" s="349"/>
      <c r="V636" s="291"/>
      <c r="W636" s="291"/>
      <c r="Y636" s="187"/>
      <c r="Z636" s="89"/>
    </row>
    <row r="637" spans="2:26" ht="15.75">
      <c r="B637" s="291">
        <f t="shared" si="62"/>
        <v>4.5</v>
      </c>
      <c r="C637" s="69"/>
      <c r="D637" s="231">
        <v>4.5</v>
      </c>
      <c r="E637" s="347">
        <v>4</v>
      </c>
      <c r="F637" s="231">
        <f t="shared" si="59"/>
        <v>18</v>
      </c>
      <c r="G637" s="68">
        <v>0</v>
      </c>
      <c r="H637" s="165">
        <f t="shared" si="63"/>
        <v>18</v>
      </c>
      <c r="I637" s="228">
        <v>1</v>
      </c>
      <c r="J637" s="165">
        <f t="shared" si="64"/>
        <v>18</v>
      </c>
      <c r="K637" s="349"/>
      <c r="L637" s="107"/>
      <c r="M637" s="231"/>
      <c r="N637" s="347"/>
      <c r="O637" s="231"/>
      <c r="P637" s="68"/>
      <c r="Q637" s="231"/>
      <c r="R637" s="228"/>
      <c r="S637" s="231"/>
      <c r="T637" s="349"/>
      <c r="V637" s="291"/>
      <c r="W637" s="291"/>
      <c r="Y637" s="187"/>
      <c r="Z637" s="89"/>
    </row>
    <row r="638" spans="2:26" ht="15.75">
      <c r="B638" s="291">
        <f t="shared" si="62"/>
        <v>4.5</v>
      </c>
      <c r="C638" s="69">
        <v>17</v>
      </c>
      <c r="D638" s="231">
        <v>4.5</v>
      </c>
      <c r="E638" s="347">
        <v>4</v>
      </c>
      <c r="F638" s="231">
        <f t="shared" si="59"/>
        <v>18</v>
      </c>
      <c r="G638" s="68">
        <v>0</v>
      </c>
      <c r="H638" s="165">
        <f t="shared" si="63"/>
        <v>18</v>
      </c>
      <c r="I638" s="228">
        <v>1</v>
      </c>
      <c r="J638" s="165">
        <f t="shared" si="64"/>
        <v>18</v>
      </c>
      <c r="K638" s="349"/>
      <c r="L638" s="107"/>
      <c r="M638" s="231"/>
      <c r="N638" s="347"/>
      <c r="O638" s="231"/>
      <c r="P638" s="68"/>
      <c r="Q638" s="231"/>
      <c r="R638" s="228"/>
      <c r="S638" s="231"/>
      <c r="T638" s="349"/>
      <c r="V638" s="291"/>
      <c r="W638" s="291"/>
      <c r="Y638" s="187"/>
      <c r="Z638" s="89"/>
    </row>
    <row r="639" spans="2:26" ht="15.75">
      <c r="B639" s="291">
        <f t="shared" si="62"/>
        <v>2.7</v>
      </c>
      <c r="C639" s="69"/>
      <c r="D639" s="231">
        <f>1.8*1.5</f>
        <v>2.7</v>
      </c>
      <c r="E639" s="347">
        <v>4</v>
      </c>
      <c r="F639" s="231">
        <f t="shared" si="59"/>
        <v>10.8</v>
      </c>
      <c r="G639" s="68">
        <v>0</v>
      </c>
      <c r="H639" s="165">
        <f t="shared" si="63"/>
        <v>10.8</v>
      </c>
      <c r="I639" s="228">
        <v>1</v>
      </c>
      <c r="J639" s="165">
        <f t="shared" si="64"/>
        <v>10.8</v>
      </c>
      <c r="K639" s="349"/>
      <c r="L639" s="107"/>
      <c r="M639" s="231"/>
      <c r="N639" s="347"/>
      <c r="O639" s="231"/>
      <c r="P639" s="68"/>
      <c r="Q639" s="231"/>
      <c r="R639" s="228"/>
      <c r="S639" s="231"/>
      <c r="T639" s="349"/>
      <c r="V639" s="291"/>
      <c r="W639" s="291"/>
      <c r="Y639" s="187"/>
      <c r="Z639" s="89"/>
    </row>
    <row r="640" spans="2:26" ht="15.75">
      <c r="B640" s="291">
        <f t="shared" si="62"/>
        <v>1.5</v>
      </c>
      <c r="C640" s="69">
        <v>18</v>
      </c>
      <c r="D640" s="231">
        <v>1.5</v>
      </c>
      <c r="E640" s="347">
        <v>4</v>
      </c>
      <c r="F640" s="231">
        <f t="shared" si="59"/>
        <v>6</v>
      </c>
      <c r="G640" s="228">
        <v>0</v>
      </c>
      <c r="H640" s="165">
        <f t="shared" si="63"/>
        <v>6</v>
      </c>
      <c r="I640" s="228">
        <v>1</v>
      </c>
      <c r="J640" s="165">
        <f t="shared" si="64"/>
        <v>6</v>
      </c>
      <c r="K640" s="349"/>
      <c r="L640" s="107"/>
      <c r="M640" s="231"/>
      <c r="N640" s="347"/>
      <c r="O640" s="231"/>
      <c r="P640" s="68"/>
      <c r="Q640" s="231"/>
      <c r="R640" s="228"/>
      <c r="S640" s="231"/>
      <c r="T640" s="349"/>
      <c r="V640" s="291"/>
      <c r="W640" s="291"/>
      <c r="Y640" s="187"/>
      <c r="Z640" s="89"/>
    </row>
    <row r="641" spans="2:26" ht="15.75">
      <c r="B641" s="291">
        <f t="shared" si="62"/>
        <v>4.5</v>
      </c>
      <c r="C641" s="69"/>
      <c r="D641" s="231">
        <v>4.5</v>
      </c>
      <c r="E641" s="347">
        <v>4</v>
      </c>
      <c r="F641" s="231">
        <f t="shared" si="59"/>
        <v>18</v>
      </c>
      <c r="G641" s="228">
        <v>0</v>
      </c>
      <c r="H641" s="165">
        <f t="shared" si="63"/>
        <v>18</v>
      </c>
      <c r="I641" s="228">
        <v>1</v>
      </c>
      <c r="J641" s="165">
        <f t="shared" si="64"/>
        <v>18</v>
      </c>
      <c r="K641" s="349"/>
      <c r="L641" s="107"/>
      <c r="M641" s="231"/>
      <c r="N641" s="347"/>
      <c r="O641" s="231"/>
      <c r="P641" s="68"/>
      <c r="Q641" s="231"/>
      <c r="R641" s="228"/>
      <c r="S641" s="231"/>
      <c r="T641" s="349"/>
      <c r="V641" s="291"/>
      <c r="W641" s="291"/>
      <c r="Y641" s="187"/>
      <c r="Z641" s="89"/>
    </row>
    <row r="642" spans="2:26" ht="15.75">
      <c r="B642" s="291">
        <f t="shared" si="62"/>
        <v>4.5</v>
      </c>
      <c r="C642" s="69">
        <v>19</v>
      </c>
      <c r="D642" s="231">
        <v>4.5</v>
      </c>
      <c r="E642" s="347">
        <v>4</v>
      </c>
      <c r="F642" s="231">
        <f t="shared" si="59"/>
        <v>18</v>
      </c>
      <c r="G642" s="228">
        <v>0</v>
      </c>
      <c r="H642" s="165">
        <f t="shared" si="63"/>
        <v>18</v>
      </c>
      <c r="I642" s="228">
        <v>1</v>
      </c>
      <c r="J642" s="165">
        <f t="shared" si="64"/>
        <v>18</v>
      </c>
      <c r="K642" s="349"/>
      <c r="L642" s="107"/>
      <c r="M642" s="231"/>
      <c r="N642" s="347"/>
      <c r="O642" s="231"/>
      <c r="P642" s="68"/>
      <c r="Q642" s="231"/>
      <c r="R642" s="228"/>
      <c r="S642" s="231"/>
      <c r="T642" s="349"/>
      <c r="V642" s="291"/>
      <c r="W642" s="291"/>
      <c r="Y642" s="187"/>
      <c r="Z642" s="89"/>
    </row>
    <row r="643" spans="2:26" ht="15.75">
      <c r="B643" s="291">
        <f t="shared" si="62"/>
        <v>3.5</v>
      </c>
      <c r="C643" s="69"/>
      <c r="D643" s="231">
        <v>3.5</v>
      </c>
      <c r="E643" s="347">
        <v>4</v>
      </c>
      <c r="F643" s="231">
        <f t="shared" si="59"/>
        <v>14</v>
      </c>
      <c r="G643" s="228">
        <v>0</v>
      </c>
      <c r="H643" s="165">
        <f t="shared" si="63"/>
        <v>14</v>
      </c>
      <c r="I643" s="228">
        <v>1</v>
      </c>
      <c r="J643" s="165">
        <f t="shared" si="64"/>
        <v>14</v>
      </c>
      <c r="K643" s="349"/>
      <c r="L643" s="107"/>
      <c r="M643" s="231"/>
      <c r="N643" s="347"/>
      <c r="O643" s="231"/>
      <c r="P643" s="68"/>
      <c r="Q643" s="231"/>
      <c r="R643" s="228"/>
      <c r="S643" s="231"/>
      <c r="T643" s="349"/>
      <c r="V643" s="291"/>
      <c r="W643" s="291"/>
      <c r="Y643" s="187"/>
      <c r="Z643" s="89"/>
    </row>
    <row r="644" spans="2:26" ht="15.75">
      <c r="B644" s="291">
        <f t="shared" si="62"/>
        <v>2.55</v>
      </c>
      <c r="C644" s="69">
        <v>20</v>
      </c>
      <c r="D644" s="231">
        <f>1.7*1.5</f>
        <v>2.55</v>
      </c>
      <c r="E644" s="347">
        <v>4</v>
      </c>
      <c r="F644" s="231">
        <f t="shared" si="59"/>
        <v>10.2</v>
      </c>
      <c r="G644" s="228">
        <v>0</v>
      </c>
      <c r="H644" s="165">
        <f t="shared" si="63"/>
        <v>10.2</v>
      </c>
      <c r="I644" s="228">
        <v>1</v>
      </c>
      <c r="J644" s="165">
        <f t="shared" si="64"/>
        <v>10.2</v>
      </c>
      <c r="K644" s="349"/>
      <c r="L644" s="107"/>
      <c r="M644" s="231"/>
      <c r="N644" s="347"/>
      <c r="O644" s="231"/>
      <c r="P644" s="68"/>
      <c r="Q644" s="231"/>
      <c r="R644" s="228"/>
      <c r="S644" s="231"/>
      <c r="T644" s="349"/>
      <c r="V644" s="291"/>
      <c r="W644" s="291"/>
      <c r="Y644" s="187"/>
      <c r="Z644" s="89"/>
    </row>
    <row r="645" spans="2:26" ht="15.75">
      <c r="B645" s="291">
        <f t="shared" si="62"/>
        <v>3.5</v>
      </c>
      <c r="C645" s="69">
        <v>21</v>
      </c>
      <c r="D645" s="231">
        <v>3.5</v>
      </c>
      <c r="E645" s="347">
        <v>4</v>
      </c>
      <c r="F645" s="231">
        <f t="shared" si="59"/>
        <v>14</v>
      </c>
      <c r="G645" s="228">
        <v>0</v>
      </c>
      <c r="H645" s="165">
        <f t="shared" si="63"/>
        <v>14</v>
      </c>
      <c r="I645" s="228">
        <v>1</v>
      </c>
      <c r="J645" s="165">
        <f t="shared" si="64"/>
        <v>14</v>
      </c>
      <c r="K645" s="349"/>
      <c r="L645" s="107"/>
      <c r="M645" s="231"/>
      <c r="N645" s="347"/>
      <c r="O645" s="231"/>
      <c r="P645" s="68"/>
      <c r="Q645" s="231"/>
      <c r="R645" s="228"/>
      <c r="S645" s="231"/>
      <c r="T645" s="349"/>
      <c r="V645" s="291"/>
      <c r="W645" s="291"/>
      <c r="Y645" s="187"/>
      <c r="Z645" s="89"/>
    </row>
    <row r="646" spans="2:26" ht="15.75">
      <c r="B646" s="291">
        <f t="shared" si="62"/>
        <v>2</v>
      </c>
      <c r="C646" s="69">
        <v>22</v>
      </c>
      <c r="D646" s="231">
        <v>2</v>
      </c>
      <c r="E646" s="347">
        <v>4</v>
      </c>
      <c r="F646" s="231">
        <f t="shared" si="59"/>
        <v>8</v>
      </c>
      <c r="G646" s="228">
        <v>0</v>
      </c>
      <c r="H646" s="165">
        <f t="shared" si="63"/>
        <v>8</v>
      </c>
      <c r="I646" s="228">
        <v>1</v>
      </c>
      <c r="J646" s="165">
        <f t="shared" si="64"/>
        <v>8</v>
      </c>
      <c r="K646" s="349"/>
      <c r="L646" s="107"/>
      <c r="M646" s="231"/>
      <c r="N646" s="347"/>
      <c r="O646" s="231"/>
      <c r="P646" s="68"/>
      <c r="Q646" s="231"/>
      <c r="R646" s="228"/>
      <c r="S646" s="231"/>
      <c r="T646" s="349"/>
      <c r="V646" s="291"/>
      <c r="W646" s="291"/>
      <c r="Y646" s="187"/>
      <c r="Z646" s="89"/>
    </row>
    <row r="647" spans="2:26" ht="15.75">
      <c r="B647" s="291">
        <f t="shared" si="62"/>
        <v>2</v>
      </c>
      <c r="C647" s="69"/>
      <c r="D647" s="231">
        <v>2</v>
      </c>
      <c r="E647" s="347">
        <v>4</v>
      </c>
      <c r="F647" s="231">
        <f t="shared" si="59"/>
        <v>8</v>
      </c>
      <c r="G647" s="228">
        <v>0</v>
      </c>
      <c r="H647" s="165">
        <f t="shared" si="63"/>
        <v>8</v>
      </c>
      <c r="I647" s="228">
        <v>1</v>
      </c>
      <c r="J647" s="165">
        <f t="shared" si="64"/>
        <v>8</v>
      </c>
      <c r="K647" s="349"/>
      <c r="L647" s="107"/>
      <c r="M647" s="231"/>
      <c r="N647" s="347"/>
      <c r="O647" s="231"/>
      <c r="P647" s="68"/>
      <c r="Q647" s="231"/>
      <c r="R647" s="228"/>
      <c r="S647" s="231"/>
      <c r="T647" s="349"/>
      <c r="V647" s="291"/>
      <c r="W647" s="291"/>
      <c r="Y647" s="187"/>
      <c r="Z647" s="89"/>
    </row>
    <row r="648" spans="2:26" ht="15.75">
      <c r="B648" s="291">
        <f t="shared" si="62"/>
        <v>4</v>
      </c>
      <c r="C648" s="69"/>
      <c r="D648" s="231">
        <v>4</v>
      </c>
      <c r="E648" s="347">
        <v>4</v>
      </c>
      <c r="F648" s="231">
        <f t="shared" si="59"/>
        <v>16</v>
      </c>
      <c r="G648" s="370">
        <f>J523</f>
        <v>2.1</v>
      </c>
      <c r="H648" s="165">
        <f t="shared" si="63"/>
        <v>13.9</v>
      </c>
      <c r="I648" s="228">
        <v>1</v>
      </c>
      <c r="J648" s="165">
        <f t="shared" si="64"/>
        <v>13.9</v>
      </c>
      <c r="K648" s="349"/>
      <c r="L648" s="107"/>
      <c r="M648" s="231"/>
      <c r="N648" s="347"/>
      <c r="O648" s="231"/>
      <c r="P648" s="68"/>
      <c r="Q648" s="231"/>
      <c r="R648" s="228"/>
      <c r="S648" s="231"/>
      <c r="T648" s="349"/>
      <c r="V648" s="291"/>
      <c r="W648" s="291"/>
      <c r="Y648" s="187"/>
      <c r="Z648" s="89"/>
    </row>
    <row r="649" spans="2:26" ht="15.75">
      <c r="B649" s="291">
        <f t="shared" si="62"/>
        <v>3</v>
      </c>
      <c r="C649" s="69"/>
      <c r="D649" s="231">
        <v>3</v>
      </c>
      <c r="E649" s="347">
        <v>4</v>
      </c>
      <c r="F649" s="231">
        <f t="shared" si="59"/>
        <v>12</v>
      </c>
      <c r="G649" s="228">
        <v>0</v>
      </c>
      <c r="H649" s="165">
        <f t="shared" si="63"/>
        <v>12</v>
      </c>
      <c r="I649" s="228">
        <v>1</v>
      </c>
      <c r="J649" s="165">
        <f t="shared" si="64"/>
        <v>12</v>
      </c>
      <c r="K649" s="349"/>
      <c r="L649" s="107"/>
      <c r="M649" s="231"/>
      <c r="N649" s="347"/>
      <c r="O649" s="231"/>
      <c r="P649" s="68"/>
      <c r="Q649" s="231"/>
      <c r="R649" s="228"/>
      <c r="S649" s="231"/>
      <c r="T649" s="349"/>
      <c r="V649" s="291"/>
      <c r="W649" s="291"/>
      <c r="Y649" s="187"/>
      <c r="Z649" s="89"/>
    </row>
    <row r="650" spans="2:26" ht="15.75">
      <c r="B650" s="291">
        <f t="shared" si="62"/>
        <v>2</v>
      </c>
      <c r="C650" s="69"/>
      <c r="D650" s="231">
        <v>2</v>
      </c>
      <c r="E650" s="347">
        <v>4</v>
      </c>
      <c r="F650" s="231">
        <f t="shared" si="59"/>
        <v>8</v>
      </c>
      <c r="G650" s="228">
        <v>0</v>
      </c>
      <c r="H650" s="165">
        <f t="shared" si="63"/>
        <v>8</v>
      </c>
      <c r="I650" s="228">
        <v>1</v>
      </c>
      <c r="J650" s="165">
        <f t="shared" si="64"/>
        <v>8</v>
      </c>
      <c r="K650" s="349"/>
      <c r="L650" s="107"/>
      <c r="M650" s="231"/>
      <c r="N650" s="347"/>
      <c r="O650" s="231"/>
      <c r="P650" s="68"/>
      <c r="Q650" s="231"/>
      <c r="R650" s="228"/>
      <c r="S650" s="231"/>
      <c r="T650" s="349"/>
      <c r="V650" s="291"/>
      <c r="W650" s="291"/>
      <c r="Y650" s="187"/>
      <c r="Z650" s="89"/>
    </row>
    <row r="651" spans="2:26" ht="15.75">
      <c r="B651" s="291">
        <f t="shared" si="62"/>
        <v>2</v>
      </c>
      <c r="C651" s="69">
        <v>23</v>
      </c>
      <c r="D651" s="231">
        <v>2</v>
      </c>
      <c r="E651" s="347">
        <v>4</v>
      </c>
      <c r="F651" s="231">
        <f t="shared" si="59"/>
        <v>8</v>
      </c>
      <c r="G651" s="370">
        <f>S467</f>
        <v>2.8200000000000003</v>
      </c>
      <c r="H651" s="165">
        <f t="shared" si="63"/>
        <v>5.18</v>
      </c>
      <c r="I651" s="228">
        <v>1</v>
      </c>
      <c r="J651" s="165">
        <f t="shared" si="64"/>
        <v>5.18</v>
      </c>
      <c r="K651" s="349"/>
      <c r="L651" s="107"/>
      <c r="M651" s="231"/>
      <c r="N651" s="347"/>
      <c r="O651" s="231"/>
      <c r="P651" s="68"/>
      <c r="Q651" s="231"/>
      <c r="R651" s="228"/>
      <c r="S651" s="231"/>
      <c r="T651" s="349"/>
      <c r="V651" s="291"/>
      <c r="W651" s="291"/>
      <c r="Y651" s="187"/>
      <c r="Z651" s="89"/>
    </row>
    <row r="652" spans="2:26" ht="15.75">
      <c r="B652" s="291">
        <f t="shared" si="62"/>
        <v>4</v>
      </c>
      <c r="C652" s="69"/>
      <c r="D652" s="231">
        <v>4</v>
      </c>
      <c r="E652" s="347">
        <v>4</v>
      </c>
      <c r="F652" s="231">
        <f t="shared" si="59"/>
        <v>16</v>
      </c>
      <c r="G652" s="370">
        <f>J523</f>
        <v>2.1</v>
      </c>
      <c r="H652" s="165">
        <f t="shared" si="63"/>
        <v>13.9</v>
      </c>
      <c r="I652" s="228">
        <v>1</v>
      </c>
      <c r="J652" s="165">
        <f t="shared" si="64"/>
        <v>13.9</v>
      </c>
      <c r="K652" s="349"/>
      <c r="L652" s="107"/>
      <c r="M652" s="231"/>
      <c r="N652" s="347"/>
      <c r="O652" s="231"/>
      <c r="P652" s="68"/>
      <c r="Q652" s="231"/>
      <c r="R652" s="228"/>
      <c r="S652" s="231"/>
      <c r="T652" s="349"/>
      <c r="V652" s="291"/>
      <c r="W652" s="291"/>
      <c r="Y652" s="187"/>
      <c r="Z652" s="89"/>
    </row>
    <row r="653" spans="2:26" ht="15.75">
      <c r="B653" s="291">
        <f t="shared" si="62"/>
        <v>3</v>
      </c>
      <c r="C653" s="69"/>
      <c r="D653" s="231">
        <v>3</v>
      </c>
      <c r="E653" s="347">
        <v>4</v>
      </c>
      <c r="F653" s="231">
        <f t="shared" si="59"/>
        <v>12</v>
      </c>
      <c r="G653" s="370">
        <f>S489+S498</f>
        <v>3.1399999999999997</v>
      </c>
      <c r="H653" s="165">
        <f t="shared" si="63"/>
        <v>8.86</v>
      </c>
      <c r="I653" s="228">
        <v>1</v>
      </c>
      <c r="J653" s="165">
        <f t="shared" si="64"/>
        <v>8.86</v>
      </c>
      <c r="K653" s="349"/>
      <c r="L653" s="107"/>
      <c r="M653" s="231"/>
      <c r="N653" s="347"/>
      <c r="O653" s="231"/>
      <c r="P653" s="68"/>
      <c r="Q653" s="231"/>
      <c r="R653" s="228"/>
      <c r="S653" s="231"/>
      <c r="T653" s="349"/>
      <c r="V653" s="291"/>
      <c r="W653" s="291"/>
      <c r="Y653" s="187"/>
      <c r="Z653" s="89"/>
    </row>
    <row r="654" spans="2:26" ht="16.5" thickBot="1">
      <c r="B654" s="291">
        <f>D654*I654</f>
        <v>0</v>
      </c>
      <c r="C654" s="107"/>
      <c r="D654" s="231"/>
      <c r="E654" s="347">
        <v>4</v>
      </c>
      <c r="F654" s="231">
        <f t="shared" si="59"/>
        <v>0</v>
      </c>
      <c r="G654" s="228">
        <v>0</v>
      </c>
      <c r="H654" s="165">
        <f t="shared" si="63"/>
        <v>0</v>
      </c>
      <c r="I654" s="228">
        <v>1</v>
      </c>
      <c r="J654" s="165">
        <f t="shared" si="64"/>
        <v>0</v>
      </c>
      <c r="K654" s="345">
        <f>SUM(J578:J654)</f>
        <v>800.3077999999998</v>
      </c>
      <c r="L654" s="69"/>
      <c r="M654" s="231"/>
      <c r="N654" s="347"/>
      <c r="O654" s="231"/>
      <c r="P654" s="167"/>
      <c r="Q654" s="231"/>
      <c r="R654" s="228"/>
      <c r="S654" s="231"/>
      <c r="T654" s="349"/>
      <c r="V654" s="291">
        <f>R654*M654</f>
        <v>0</v>
      </c>
      <c r="W654" s="291"/>
      <c r="Y654" s="187">
        <f aca="true" t="shared" si="65" ref="Y654:Y660">J654*2</f>
        <v>0</v>
      </c>
      <c r="Z654" s="89"/>
    </row>
    <row r="655" spans="2:26" ht="15.75">
      <c r="B655" s="477">
        <f>SUM(B578:B654)</f>
        <v>236.04999999999993</v>
      </c>
      <c r="C655" s="107"/>
      <c r="D655" s="351">
        <f>SUM(D578:D654)</f>
        <v>236.04999999999993</v>
      </c>
      <c r="E655" s="347"/>
      <c r="F655" s="231"/>
      <c r="G655" s="68"/>
      <c r="H655" s="165"/>
      <c r="I655" s="68"/>
      <c r="J655" s="478"/>
      <c r="K655" s="491">
        <f>SUM(J578:J654)</f>
        <v>800.3077999999998</v>
      </c>
      <c r="L655" s="107"/>
      <c r="M655" s="231"/>
      <c r="N655" s="347"/>
      <c r="O655" s="231"/>
      <c r="P655" s="68"/>
      <c r="Q655" s="231"/>
      <c r="R655" s="228"/>
      <c r="S655" s="231"/>
      <c r="T655" s="349"/>
      <c r="V655" s="291">
        <f>SUM(V578:V654)</f>
        <v>0</v>
      </c>
      <c r="W655" s="291"/>
      <c r="Y655" s="187">
        <f t="shared" si="65"/>
        <v>0</v>
      </c>
      <c r="Z655" s="89"/>
    </row>
    <row r="656" spans="3:26" ht="15.75">
      <c r="C656" s="107"/>
      <c r="D656" s="165"/>
      <c r="E656" s="347"/>
      <c r="F656" s="165"/>
      <c r="G656" s="68"/>
      <c r="H656" s="165"/>
      <c r="I656" s="68"/>
      <c r="J656" s="165"/>
      <c r="K656" s="346"/>
      <c r="L656" s="69"/>
      <c r="M656" s="231"/>
      <c r="N656" s="347"/>
      <c r="O656" s="231"/>
      <c r="P656" s="167"/>
      <c r="Q656" s="231"/>
      <c r="R656" s="228"/>
      <c r="S656" s="231"/>
      <c r="T656" s="349"/>
      <c r="V656" s="291"/>
      <c r="W656" s="291"/>
      <c r="Y656" s="187">
        <f t="shared" si="65"/>
        <v>0</v>
      </c>
      <c r="Z656" s="89"/>
    </row>
    <row r="657" spans="3:26" ht="15.75">
      <c r="C657" s="138" t="s">
        <v>417</v>
      </c>
      <c r="D657" s="68"/>
      <c r="E657" s="52"/>
      <c r="F657" s="68"/>
      <c r="G657" s="52"/>
      <c r="H657" s="68"/>
      <c r="I657" s="68"/>
      <c r="J657" s="68"/>
      <c r="K657" s="346"/>
      <c r="L657" s="107"/>
      <c r="M657" s="231"/>
      <c r="N657" s="347"/>
      <c r="O657" s="231"/>
      <c r="P657" s="68"/>
      <c r="Q657" s="231"/>
      <c r="R657" s="228"/>
      <c r="S657" s="231"/>
      <c r="T657" s="349"/>
      <c r="V657" s="291"/>
      <c r="W657" s="291"/>
      <c r="Y657" s="187">
        <f t="shared" si="65"/>
        <v>0</v>
      </c>
      <c r="Z657" s="89"/>
    </row>
    <row r="658" spans="3:26" ht="15.75">
      <c r="C658" s="263" t="s">
        <v>418</v>
      </c>
      <c r="D658" s="68"/>
      <c r="E658" s="52"/>
      <c r="F658" s="68"/>
      <c r="G658" s="52"/>
      <c r="H658" s="68"/>
      <c r="I658" s="167"/>
      <c r="J658" s="68"/>
      <c r="K658" s="346"/>
      <c r="L658" s="263"/>
      <c r="M658" s="68"/>
      <c r="N658" s="52"/>
      <c r="O658" s="68"/>
      <c r="P658" s="52"/>
      <c r="Q658" s="68"/>
      <c r="R658" s="167"/>
      <c r="S658" s="68"/>
      <c r="T658" s="346"/>
      <c r="V658" s="291"/>
      <c r="W658" s="291"/>
      <c r="Y658" s="187">
        <f t="shared" si="65"/>
        <v>0</v>
      </c>
      <c r="Z658" s="89"/>
    </row>
    <row r="659" spans="3:26" ht="15.75">
      <c r="C659" s="263" t="s">
        <v>419</v>
      </c>
      <c r="D659" s="165">
        <f>B655-0.8*35</f>
        <v>208.04999999999993</v>
      </c>
      <c r="E659" s="75">
        <v>0.3</v>
      </c>
      <c r="F659" s="165">
        <f>E659*D659</f>
        <v>62.41499999999998</v>
      </c>
      <c r="G659" s="52">
        <v>0</v>
      </c>
      <c r="H659" s="165">
        <f>F659-G659</f>
        <v>62.41499999999998</v>
      </c>
      <c r="I659" s="68">
        <v>1</v>
      </c>
      <c r="J659" s="165">
        <f>I659*H659</f>
        <v>62.41499999999998</v>
      </c>
      <c r="K659" s="346"/>
      <c r="L659" s="263"/>
      <c r="M659" s="165"/>
      <c r="N659" s="75"/>
      <c r="O659" s="165"/>
      <c r="P659" s="52"/>
      <c r="Q659" s="165"/>
      <c r="R659" s="68"/>
      <c r="S659" s="165"/>
      <c r="T659" s="346"/>
      <c r="V659" s="291"/>
      <c r="W659" s="291"/>
      <c r="Y659" s="187">
        <f t="shared" si="65"/>
        <v>124.82999999999996</v>
      </c>
      <c r="Z659" s="89"/>
    </row>
    <row r="660" spans="3:26" ht="15.75">
      <c r="C660" s="107"/>
      <c r="D660" s="165">
        <f>D597</f>
        <v>3.6</v>
      </c>
      <c r="E660" s="347">
        <v>1.8</v>
      </c>
      <c r="F660" s="165">
        <f aca="true" t="shared" si="66" ref="F660:F675">E660*D660</f>
        <v>6.48</v>
      </c>
      <c r="G660" s="227">
        <v>0</v>
      </c>
      <c r="H660" s="165">
        <f aca="true" t="shared" si="67" ref="H660:H675">F660-G660</f>
        <v>6.48</v>
      </c>
      <c r="I660" s="68">
        <v>1</v>
      </c>
      <c r="J660" s="165">
        <f aca="true" t="shared" si="68" ref="J660:J675">I660*H660</f>
        <v>6.48</v>
      </c>
      <c r="K660" s="346"/>
      <c r="L660" s="107"/>
      <c r="M660" s="165"/>
      <c r="N660" s="347"/>
      <c r="O660" s="165"/>
      <c r="P660" s="52"/>
      <c r="Q660" s="165"/>
      <c r="R660" s="68"/>
      <c r="S660" s="165"/>
      <c r="T660" s="346"/>
      <c r="V660" s="291"/>
      <c r="W660" s="291"/>
      <c r="Y660" s="187">
        <f t="shared" si="65"/>
        <v>12.96</v>
      </c>
      <c r="Z660" s="89"/>
    </row>
    <row r="661" spans="3:26" ht="15.75">
      <c r="C661" s="107"/>
      <c r="D661" s="165">
        <f>D598</f>
        <v>2.7</v>
      </c>
      <c r="E661" s="347">
        <v>1.8</v>
      </c>
      <c r="F661" s="165">
        <f t="shared" si="66"/>
        <v>4.86</v>
      </c>
      <c r="G661" s="227">
        <v>0</v>
      </c>
      <c r="H661" s="165">
        <f t="shared" si="67"/>
        <v>4.86</v>
      </c>
      <c r="I661" s="68">
        <v>1</v>
      </c>
      <c r="J661" s="165">
        <f t="shared" si="68"/>
        <v>4.86</v>
      </c>
      <c r="K661" s="346"/>
      <c r="L661" s="107"/>
      <c r="M661" s="165"/>
      <c r="N661" s="347"/>
      <c r="O661" s="165"/>
      <c r="P661" s="52"/>
      <c r="Q661" s="165"/>
      <c r="R661" s="68"/>
      <c r="S661" s="165"/>
      <c r="T661" s="346"/>
      <c r="V661" s="291"/>
      <c r="W661" s="291"/>
      <c r="Y661" s="187"/>
      <c r="Z661" s="89"/>
    </row>
    <row r="662" spans="3:26" ht="15.75">
      <c r="C662" s="107"/>
      <c r="D662" s="165">
        <f>D601</f>
        <v>3.6</v>
      </c>
      <c r="E662" s="347">
        <v>1.8</v>
      </c>
      <c r="F662" s="165">
        <f t="shared" si="66"/>
        <v>6.48</v>
      </c>
      <c r="G662" s="227">
        <v>0</v>
      </c>
      <c r="H662" s="165">
        <f t="shared" si="67"/>
        <v>6.48</v>
      </c>
      <c r="I662" s="68">
        <v>1</v>
      </c>
      <c r="J662" s="165">
        <f t="shared" si="68"/>
        <v>6.48</v>
      </c>
      <c r="K662" s="346"/>
      <c r="L662" s="107"/>
      <c r="M662" s="165"/>
      <c r="N662" s="347"/>
      <c r="O662" s="165"/>
      <c r="P662" s="52"/>
      <c r="Q662" s="165"/>
      <c r="R662" s="68"/>
      <c r="S662" s="165"/>
      <c r="T662" s="346"/>
      <c r="V662" s="291"/>
      <c r="W662" s="291"/>
      <c r="Y662" s="187"/>
      <c r="Z662" s="89"/>
    </row>
    <row r="663" spans="3:26" ht="15.75">
      <c r="C663" s="107"/>
      <c r="D663" s="165">
        <f>D602</f>
        <v>2.5</v>
      </c>
      <c r="E663" s="347">
        <v>1.8</v>
      </c>
      <c r="F663" s="165">
        <f t="shared" si="66"/>
        <v>4.5</v>
      </c>
      <c r="G663" s="227">
        <v>0</v>
      </c>
      <c r="H663" s="165">
        <f t="shared" si="67"/>
        <v>4.5</v>
      </c>
      <c r="I663" s="68">
        <v>1</v>
      </c>
      <c r="J663" s="165">
        <f t="shared" si="68"/>
        <v>4.5</v>
      </c>
      <c r="K663" s="346"/>
      <c r="L663" s="107"/>
      <c r="M663" s="165"/>
      <c r="N663" s="347"/>
      <c r="O663" s="165"/>
      <c r="P663" s="52"/>
      <c r="Q663" s="165"/>
      <c r="R663" s="68"/>
      <c r="S663" s="165"/>
      <c r="T663" s="346"/>
      <c r="V663" s="291"/>
      <c r="W663" s="291"/>
      <c r="Y663" s="187"/>
      <c r="Z663" s="89"/>
    </row>
    <row r="664" spans="3:26" ht="15.75">
      <c r="C664" s="107"/>
      <c r="D664" s="165">
        <f>D603-0.8</f>
        <v>1</v>
      </c>
      <c r="E664" s="347">
        <v>1.8</v>
      </c>
      <c r="F664" s="165">
        <f t="shared" si="66"/>
        <v>1.8</v>
      </c>
      <c r="G664" s="227">
        <v>0</v>
      </c>
      <c r="H664" s="165">
        <f t="shared" si="67"/>
        <v>1.8</v>
      </c>
      <c r="I664" s="68">
        <v>1</v>
      </c>
      <c r="J664" s="165">
        <f t="shared" si="68"/>
        <v>1.8</v>
      </c>
      <c r="K664" s="346"/>
      <c r="L664" s="107"/>
      <c r="M664" s="165"/>
      <c r="N664" s="347"/>
      <c r="O664" s="165"/>
      <c r="P664" s="52"/>
      <c r="Q664" s="165"/>
      <c r="R664" s="68"/>
      <c r="S664" s="165"/>
      <c r="T664" s="346"/>
      <c r="V664" s="291"/>
      <c r="W664" s="291"/>
      <c r="Y664" s="187"/>
      <c r="Z664" s="89"/>
    </row>
    <row r="665" spans="3:26" ht="15.75">
      <c r="C665" s="107"/>
      <c r="D665" s="165">
        <f>D604-0.8</f>
        <v>2.8</v>
      </c>
      <c r="E665" s="347">
        <v>1.8</v>
      </c>
      <c r="F665" s="165">
        <f t="shared" si="66"/>
        <v>5.04</v>
      </c>
      <c r="G665" s="227">
        <v>0</v>
      </c>
      <c r="H665" s="165">
        <f t="shared" si="67"/>
        <v>5.04</v>
      </c>
      <c r="I665" s="68">
        <v>1</v>
      </c>
      <c r="J665" s="165">
        <f t="shared" si="68"/>
        <v>5.04</v>
      </c>
      <c r="K665" s="346"/>
      <c r="L665" s="107"/>
      <c r="M665" s="165"/>
      <c r="N665" s="347"/>
      <c r="O665" s="165"/>
      <c r="P665" s="52"/>
      <c r="Q665" s="165"/>
      <c r="R665" s="68"/>
      <c r="S665" s="165"/>
      <c r="T665" s="346"/>
      <c r="V665" s="291"/>
      <c r="W665" s="291"/>
      <c r="Y665" s="187"/>
      <c r="Z665" s="89"/>
    </row>
    <row r="666" spans="3:26" ht="15.75">
      <c r="C666" s="107"/>
      <c r="D666" s="165">
        <f>D607-0.8</f>
        <v>1</v>
      </c>
      <c r="E666" s="347">
        <v>1.8</v>
      </c>
      <c r="F666" s="165">
        <f t="shared" si="66"/>
        <v>1.8</v>
      </c>
      <c r="G666" s="227">
        <v>0</v>
      </c>
      <c r="H666" s="165">
        <f t="shared" si="67"/>
        <v>1.8</v>
      </c>
      <c r="I666" s="68">
        <v>1</v>
      </c>
      <c r="J666" s="165">
        <f t="shared" si="68"/>
        <v>1.8</v>
      </c>
      <c r="K666" s="346"/>
      <c r="L666" s="107"/>
      <c r="M666" s="165"/>
      <c r="N666" s="347"/>
      <c r="O666" s="165"/>
      <c r="P666" s="52"/>
      <c r="Q666" s="165"/>
      <c r="R666" s="68"/>
      <c r="S666" s="165"/>
      <c r="T666" s="346"/>
      <c r="V666" s="291"/>
      <c r="W666" s="291"/>
      <c r="Y666" s="187"/>
      <c r="Z666" s="89"/>
    </row>
    <row r="667" spans="3:26" ht="15.75">
      <c r="C667" s="107"/>
      <c r="D667" s="165">
        <f>D608-2*0.8</f>
        <v>2</v>
      </c>
      <c r="E667" s="347">
        <v>1.8</v>
      </c>
      <c r="F667" s="165">
        <f t="shared" si="66"/>
        <v>3.6</v>
      </c>
      <c r="G667" s="227">
        <v>0</v>
      </c>
      <c r="H667" s="165">
        <f t="shared" si="67"/>
        <v>3.6</v>
      </c>
      <c r="I667" s="68">
        <v>1</v>
      </c>
      <c r="J667" s="165">
        <f t="shared" si="68"/>
        <v>3.6</v>
      </c>
      <c r="K667" s="346"/>
      <c r="L667" s="107"/>
      <c r="M667" s="165"/>
      <c r="N667" s="347"/>
      <c r="O667" s="165"/>
      <c r="P667" s="52"/>
      <c r="Q667" s="165"/>
      <c r="R667" s="68"/>
      <c r="S667" s="165"/>
      <c r="T667" s="346"/>
      <c r="V667" s="291"/>
      <c r="W667" s="291"/>
      <c r="Y667" s="187"/>
      <c r="Z667" s="89"/>
    </row>
    <row r="668" spans="3:26" ht="15.75">
      <c r="C668" s="107"/>
      <c r="D668" s="165">
        <f>D609</f>
        <v>3.6</v>
      </c>
      <c r="E668" s="347">
        <v>1.8</v>
      </c>
      <c r="F668" s="165">
        <f t="shared" si="66"/>
        <v>6.48</v>
      </c>
      <c r="G668" s="227">
        <v>0</v>
      </c>
      <c r="H668" s="165">
        <f t="shared" si="67"/>
        <v>6.48</v>
      </c>
      <c r="I668" s="68">
        <v>1</v>
      </c>
      <c r="J668" s="165">
        <f t="shared" si="68"/>
        <v>6.48</v>
      </c>
      <c r="K668" s="346"/>
      <c r="L668" s="107"/>
      <c r="M668" s="165"/>
      <c r="N668" s="347"/>
      <c r="O668" s="165"/>
      <c r="P668" s="52"/>
      <c r="Q668" s="165"/>
      <c r="R668" s="68"/>
      <c r="S668" s="165"/>
      <c r="T668" s="346"/>
      <c r="V668" s="291"/>
      <c r="W668" s="291"/>
      <c r="Y668" s="187"/>
      <c r="Z668" s="89"/>
    </row>
    <row r="669" spans="3:26" ht="15.75">
      <c r="C669" s="107"/>
      <c r="D669" s="165">
        <f>D611</f>
        <v>3.6</v>
      </c>
      <c r="E669" s="347">
        <v>1.8</v>
      </c>
      <c r="F669" s="165">
        <f t="shared" si="66"/>
        <v>6.48</v>
      </c>
      <c r="G669" s="227">
        <v>0</v>
      </c>
      <c r="H669" s="165">
        <f t="shared" si="67"/>
        <v>6.48</v>
      </c>
      <c r="I669" s="68">
        <v>1</v>
      </c>
      <c r="J669" s="165">
        <f t="shared" si="68"/>
        <v>6.48</v>
      </c>
      <c r="K669" s="346"/>
      <c r="L669" s="107"/>
      <c r="M669" s="165"/>
      <c r="N669" s="347"/>
      <c r="O669" s="165"/>
      <c r="P669" s="52"/>
      <c r="Q669" s="165"/>
      <c r="R669" s="68"/>
      <c r="S669" s="165"/>
      <c r="T669" s="346"/>
      <c r="V669" s="291"/>
      <c r="W669" s="291"/>
      <c r="Y669" s="187"/>
      <c r="Z669" s="89"/>
    </row>
    <row r="670" spans="3:26" ht="15.75">
      <c r="C670" s="107"/>
      <c r="D670" s="165">
        <f>D616</f>
        <v>1.8</v>
      </c>
      <c r="E670" s="347">
        <v>1.8</v>
      </c>
      <c r="F670" s="165">
        <f t="shared" si="66"/>
        <v>3.24</v>
      </c>
      <c r="G670" s="227">
        <v>0</v>
      </c>
      <c r="H670" s="165">
        <f t="shared" si="67"/>
        <v>3.24</v>
      </c>
      <c r="I670" s="68">
        <v>1</v>
      </c>
      <c r="J670" s="165">
        <f t="shared" si="68"/>
        <v>3.24</v>
      </c>
      <c r="K670" s="346"/>
      <c r="L670" s="107"/>
      <c r="M670" s="165"/>
      <c r="N670" s="347"/>
      <c r="O670" s="165"/>
      <c r="P670" s="52"/>
      <c r="Q670" s="165"/>
      <c r="R670" s="68"/>
      <c r="S670" s="165"/>
      <c r="T670" s="346"/>
      <c r="V670" s="291"/>
      <c r="W670" s="291"/>
      <c r="Y670" s="187"/>
      <c r="Z670" s="89"/>
    </row>
    <row r="671" spans="3:26" ht="15.75">
      <c r="C671" s="107"/>
      <c r="D671" s="165">
        <f>D619</f>
        <v>3.5</v>
      </c>
      <c r="E671" s="347">
        <v>1.8</v>
      </c>
      <c r="F671" s="165">
        <f t="shared" si="66"/>
        <v>6.3</v>
      </c>
      <c r="G671" s="227">
        <v>0</v>
      </c>
      <c r="H671" s="165">
        <f t="shared" si="67"/>
        <v>6.3</v>
      </c>
      <c r="I671" s="68">
        <v>1</v>
      </c>
      <c r="J671" s="165">
        <f t="shared" si="68"/>
        <v>6.3</v>
      </c>
      <c r="K671" s="346"/>
      <c r="L671" s="107"/>
      <c r="M671" s="165"/>
      <c r="N671" s="347"/>
      <c r="O671" s="165"/>
      <c r="P671" s="52"/>
      <c r="Q671" s="165"/>
      <c r="R671" s="68"/>
      <c r="S671" s="165"/>
      <c r="T671" s="346"/>
      <c r="V671" s="291"/>
      <c r="W671" s="291"/>
      <c r="Y671" s="187"/>
      <c r="Z671" s="89"/>
    </row>
    <row r="672" spans="3:26" ht="15.75">
      <c r="C672" s="107"/>
      <c r="D672" s="165">
        <f>D620</f>
        <v>3.5</v>
      </c>
      <c r="E672" s="347">
        <v>1.8</v>
      </c>
      <c r="F672" s="165">
        <f t="shared" si="66"/>
        <v>6.3</v>
      </c>
      <c r="G672" s="227">
        <v>0</v>
      </c>
      <c r="H672" s="165">
        <f t="shared" si="67"/>
        <v>6.3</v>
      </c>
      <c r="I672" s="68">
        <v>1</v>
      </c>
      <c r="J672" s="165">
        <f t="shared" si="68"/>
        <v>6.3</v>
      </c>
      <c r="K672" s="346"/>
      <c r="L672" s="107"/>
      <c r="M672" s="165"/>
      <c r="N672" s="347"/>
      <c r="O672" s="165"/>
      <c r="P672" s="52"/>
      <c r="Q672" s="165"/>
      <c r="R672" s="68"/>
      <c r="S672" s="165"/>
      <c r="T672" s="346"/>
      <c r="V672" s="291"/>
      <c r="W672" s="291"/>
      <c r="Y672" s="187"/>
      <c r="Z672" s="89"/>
    </row>
    <row r="673" spans="3:26" ht="15.75">
      <c r="C673" s="107"/>
      <c r="D673" s="165">
        <f>D622</f>
        <v>1.75</v>
      </c>
      <c r="E673" s="347">
        <v>1.8</v>
      </c>
      <c r="F673" s="165">
        <f t="shared" si="66"/>
        <v>3.15</v>
      </c>
      <c r="G673" s="227">
        <v>0</v>
      </c>
      <c r="H673" s="165">
        <f t="shared" si="67"/>
        <v>3.15</v>
      </c>
      <c r="I673" s="68">
        <v>1</v>
      </c>
      <c r="J673" s="165">
        <f t="shared" si="68"/>
        <v>3.15</v>
      </c>
      <c r="K673" s="346"/>
      <c r="L673" s="107"/>
      <c r="M673" s="165"/>
      <c r="N673" s="347"/>
      <c r="O673" s="165"/>
      <c r="P673" s="52"/>
      <c r="Q673" s="165"/>
      <c r="R673" s="68"/>
      <c r="S673" s="165"/>
      <c r="T673" s="346"/>
      <c r="V673" s="291"/>
      <c r="W673" s="291"/>
      <c r="Y673" s="187"/>
      <c r="Z673" s="89"/>
    </row>
    <row r="674" spans="3:26" ht="15.75">
      <c r="C674" s="107"/>
      <c r="D674" s="165">
        <f>D624</f>
        <v>3.5</v>
      </c>
      <c r="E674" s="347">
        <v>1.8</v>
      </c>
      <c r="F674" s="165">
        <f t="shared" si="66"/>
        <v>6.3</v>
      </c>
      <c r="G674" s="227">
        <v>0</v>
      </c>
      <c r="H674" s="165">
        <f t="shared" si="67"/>
        <v>6.3</v>
      </c>
      <c r="I674" s="68">
        <v>1</v>
      </c>
      <c r="J674" s="165">
        <f t="shared" si="68"/>
        <v>6.3</v>
      </c>
      <c r="K674" s="346"/>
      <c r="L674" s="107"/>
      <c r="M674" s="165"/>
      <c r="N674" s="347"/>
      <c r="O674" s="165"/>
      <c r="P674" s="52"/>
      <c r="Q674" s="165"/>
      <c r="R674" s="68"/>
      <c r="S674" s="165"/>
      <c r="T674" s="346"/>
      <c r="V674" s="291"/>
      <c r="W674" s="291"/>
      <c r="Y674" s="187"/>
      <c r="Z674" s="89"/>
    </row>
    <row r="675" spans="3:26" ht="15.75">
      <c r="C675" s="107"/>
      <c r="D675" s="165"/>
      <c r="E675" s="347">
        <v>1.8</v>
      </c>
      <c r="F675" s="165">
        <f t="shared" si="66"/>
        <v>0</v>
      </c>
      <c r="G675" s="52">
        <v>0</v>
      </c>
      <c r="H675" s="165">
        <f t="shared" si="67"/>
        <v>0</v>
      </c>
      <c r="I675" s="68">
        <v>1</v>
      </c>
      <c r="J675" s="165">
        <f t="shared" si="68"/>
        <v>0</v>
      </c>
      <c r="K675" s="346">
        <f>SUM(J659:J675)</f>
        <v>135.225</v>
      </c>
      <c r="L675" s="107"/>
      <c r="M675" s="165"/>
      <c r="N675" s="347"/>
      <c r="O675" s="165"/>
      <c r="P675" s="52"/>
      <c r="Q675" s="165"/>
      <c r="R675" s="68"/>
      <c r="S675" s="165"/>
      <c r="T675" s="346"/>
      <c r="V675" s="291"/>
      <c r="W675" s="291"/>
      <c r="Y675" s="187"/>
      <c r="Z675" s="89"/>
    </row>
    <row r="676" spans="3:26" ht="15.75">
      <c r="C676" s="107"/>
      <c r="D676" s="165"/>
      <c r="E676" s="347"/>
      <c r="F676" s="165"/>
      <c r="G676" s="52"/>
      <c r="H676" s="165"/>
      <c r="I676" s="68"/>
      <c r="J676" s="165"/>
      <c r="K676" s="346"/>
      <c r="L676" s="107"/>
      <c r="M676" s="165"/>
      <c r="N676" s="347"/>
      <c r="O676" s="165"/>
      <c r="P676" s="52"/>
      <c r="Q676" s="165"/>
      <c r="R676" s="68"/>
      <c r="S676" s="165"/>
      <c r="T676" s="346"/>
      <c r="V676" s="291"/>
      <c r="W676" s="291"/>
      <c r="Y676" s="187"/>
      <c r="Z676" s="89"/>
    </row>
    <row r="677" spans="3:26" ht="15.75">
      <c r="C677" s="138" t="s">
        <v>420</v>
      </c>
      <c r="D677" s="68"/>
      <c r="E677" s="52"/>
      <c r="F677" s="68"/>
      <c r="G677" s="52"/>
      <c r="H677" s="68"/>
      <c r="I677" s="68"/>
      <c r="J677" s="68"/>
      <c r="K677" s="168">
        <f>K654-K675</f>
        <v>665.0827999999998</v>
      </c>
      <c r="L677" s="138"/>
      <c r="M677" s="68"/>
      <c r="N677" s="52"/>
      <c r="O677" s="68"/>
      <c r="P677" s="52"/>
      <c r="Q677" s="68"/>
      <c r="R677" s="68"/>
      <c r="S677" s="68"/>
      <c r="T677" s="168"/>
      <c r="V677" s="291"/>
      <c r="W677" s="291"/>
      <c r="Y677" s="187" t="e">
        <f>#REF!</f>
        <v>#REF!</v>
      </c>
      <c r="Z677" s="187" t="e">
        <f>#REF!</f>
        <v>#REF!</v>
      </c>
    </row>
    <row r="678" spans="3:26" ht="15.75">
      <c r="C678" s="138" t="s">
        <v>421</v>
      </c>
      <c r="D678" s="68"/>
      <c r="E678" s="52"/>
      <c r="F678" s="167">
        <f>K675</f>
        <v>135.225</v>
      </c>
      <c r="G678" s="52">
        <v>0</v>
      </c>
      <c r="H678" s="165">
        <f>F678-G678</f>
        <v>135.225</v>
      </c>
      <c r="I678" s="68">
        <v>2</v>
      </c>
      <c r="J678" s="165">
        <f>I678*H678</f>
        <v>270.45</v>
      </c>
      <c r="K678" s="168">
        <f>J678</f>
        <v>270.45</v>
      </c>
      <c r="L678" s="138"/>
      <c r="M678" s="68"/>
      <c r="N678" s="52"/>
      <c r="O678" s="167"/>
      <c r="P678" s="52"/>
      <c r="Q678" s="165"/>
      <c r="R678" s="68"/>
      <c r="S678" s="165"/>
      <c r="T678" s="168"/>
      <c r="V678" s="291"/>
      <c r="W678" s="291"/>
      <c r="Y678" s="187"/>
      <c r="Z678" s="187"/>
    </row>
    <row r="679" spans="3:26" ht="15.75">
      <c r="C679" s="138" t="s">
        <v>422</v>
      </c>
      <c r="D679" s="68"/>
      <c r="E679" s="52"/>
      <c r="F679" s="350">
        <f>K677</f>
        <v>665.0827999999998</v>
      </c>
      <c r="G679" s="52">
        <v>0</v>
      </c>
      <c r="H679" s="165">
        <f>F679-G679</f>
        <v>665.0827999999998</v>
      </c>
      <c r="I679" s="68">
        <v>2</v>
      </c>
      <c r="J679" s="165">
        <f>I679*H679</f>
        <v>1330.1655999999996</v>
      </c>
      <c r="K679" s="168">
        <f>J679</f>
        <v>1330.1655999999996</v>
      </c>
      <c r="L679" s="138"/>
      <c r="M679" s="68"/>
      <c r="N679" s="52"/>
      <c r="O679" s="350"/>
      <c r="P679" s="52"/>
      <c r="Q679" s="165"/>
      <c r="R679" s="68"/>
      <c r="S679" s="165"/>
      <c r="T679" s="168"/>
      <c r="V679" s="291"/>
      <c r="W679" s="291"/>
      <c r="Y679" s="187"/>
      <c r="Z679" s="187"/>
    </row>
    <row r="680" spans="3:26" ht="15.75">
      <c r="C680" s="246"/>
      <c r="D680" s="232"/>
      <c r="E680" s="344"/>
      <c r="F680" s="232"/>
      <c r="G680" s="247"/>
      <c r="H680" s="232"/>
      <c r="I680" s="247"/>
      <c r="J680" s="232"/>
      <c r="K680" s="368"/>
      <c r="L680" s="387"/>
      <c r="M680" s="329"/>
      <c r="N680" s="329"/>
      <c r="O680" s="329"/>
      <c r="P680" s="329"/>
      <c r="Q680" s="329"/>
      <c r="R680" s="329"/>
      <c r="S680" s="329"/>
      <c r="T680" s="368"/>
      <c r="V680" s="291"/>
      <c r="W680" s="291"/>
      <c r="Y680" s="187"/>
      <c r="Z680" s="187"/>
    </row>
    <row r="681" spans="3:26" ht="15.75">
      <c r="C681" s="253"/>
      <c r="D681" s="230"/>
      <c r="E681" s="389"/>
      <c r="F681" s="230"/>
      <c r="G681" s="248"/>
      <c r="H681" s="230"/>
      <c r="I681" s="248"/>
      <c r="J681" s="230"/>
      <c r="K681" s="352"/>
      <c r="L681" s="388"/>
      <c r="M681" s="324"/>
      <c r="N681" s="324"/>
      <c r="O681" s="324"/>
      <c r="P681" s="324"/>
      <c r="Q681" s="324"/>
      <c r="R681" s="324"/>
      <c r="S681" s="324"/>
      <c r="T681" s="352"/>
      <c r="V681" s="291"/>
      <c r="W681" s="291"/>
      <c r="Y681" s="187"/>
      <c r="Z681" s="187"/>
    </row>
    <row r="682" spans="3:26" ht="15.75">
      <c r="C682" s="144"/>
      <c r="D682" s="165"/>
      <c r="E682" s="75"/>
      <c r="F682" s="165"/>
      <c r="G682" s="68"/>
      <c r="H682" s="165"/>
      <c r="I682" s="68"/>
      <c r="J682" s="165"/>
      <c r="K682" s="346"/>
      <c r="L682" s="138" t="s">
        <v>423</v>
      </c>
      <c r="M682" s="165"/>
      <c r="N682" s="165"/>
      <c r="O682" s="165"/>
      <c r="P682" s="165"/>
      <c r="Q682" s="68"/>
      <c r="R682" s="165"/>
      <c r="S682" s="165"/>
      <c r="T682" s="164"/>
      <c r="V682" s="291"/>
      <c r="W682" s="291"/>
      <c r="Y682" s="187"/>
      <c r="Z682" s="187"/>
    </row>
    <row r="683" spans="3:26" ht="15.75">
      <c r="C683" s="249"/>
      <c r="D683" s="231"/>
      <c r="E683" s="347"/>
      <c r="F683" s="231"/>
      <c r="G683" s="68"/>
      <c r="H683" s="231"/>
      <c r="I683" s="228"/>
      <c r="J683" s="231"/>
      <c r="K683" s="346"/>
      <c r="L683" s="101" t="s">
        <v>339</v>
      </c>
      <c r="M683" s="97"/>
      <c r="N683" s="97"/>
      <c r="O683" s="98"/>
      <c r="P683" s="165"/>
      <c r="Q683" s="68"/>
      <c r="R683" s="165"/>
      <c r="S683" s="165"/>
      <c r="T683" s="164"/>
      <c r="V683" s="291">
        <f>I683*D683</f>
        <v>0</v>
      </c>
      <c r="W683" s="291"/>
      <c r="Y683" s="187"/>
      <c r="Z683" s="187"/>
    </row>
    <row r="684" spans="3:26" ht="15.75">
      <c r="C684" s="249"/>
      <c r="D684" s="231"/>
      <c r="E684" s="347"/>
      <c r="F684" s="231"/>
      <c r="G684" s="167"/>
      <c r="H684" s="231"/>
      <c r="I684" s="228"/>
      <c r="J684" s="231"/>
      <c r="K684" s="346"/>
      <c r="L684" s="105"/>
      <c r="M684" s="97"/>
      <c r="N684" s="97"/>
      <c r="O684" s="98"/>
      <c r="P684" s="165">
        <f>(M684+N684)*O684</f>
        <v>0</v>
      </c>
      <c r="Q684" s="68"/>
      <c r="R684" s="165">
        <f>Q684*P684</f>
        <v>0</v>
      </c>
      <c r="S684" s="165"/>
      <c r="T684" s="85"/>
      <c r="V684" s="291">
        <f>I684*D684</f>
        <v>0</v>
      </c>
      <c r="W684" s="291"/>
      <c r="Y684" s="187" t="e">
        <f>#REF!</f>
        <v>#REF!</v>
      </c>
      <c r="Z684" s="187" t="e">
        <f>#REF!</f>
        <v>#REF!</v>
      </c>
    </row>
    <row r="685" spans="3:20" ht="15.75">
      <c r="C685" s="138"/>
      <c r="D685" s="68"/>
      <c r="E685" s="52"/>
      <c r="F685" s="354"/>
      <c r="G685" s="52"/>
      <c r="H685" s="165"/>
      <c r="I685" s="68"/>
      <c r="J685" s="165"/>
      <c r="K685" s="168"/>
      <c r="L685" s="107"/>
      <c r="M685" s="97"/>
      <c r="N685" s="97"/>
      <c r="O685" s="98"/>
      <c r="P685" s="165"/>
      <c r="Q685" s="167"/>
      <c r="R685" s="165"/>
      <c r="S685" s="165"/>
      <c r="T685" s="164"/>
    </row>
    <row r="686" spans="3:20" ht="16.5" thickBot="1">
      <c r="C686" s="240"/>
      <c r="D686" s="74"/>
      <c r="E686" s="76"/>
      <c r="F686" s="170"/>
      <c r="G686" s="76"/>
      <c r="H686" s="170"/>
      <c r="I686" s="74"/>
      <c r="J686" s="170"/>
      <c r="K686" s="272"/>
      <c r="L686" s="72"/>
      <c r="M686" s="112"/>
      <c r="N686" s="112"/>
      <c r="O686" s="112"/>
      <c r="P686" s="112"/>
      <c r="Q686" s="112"/>
      <c r="R686" s="112"/>
      <c r="S686" s="112"/>
      <c r="T686" s="117"/>
    </row>
    <row r="687" spans="3:20" ht="16.5" thickTop="1">
      <c r="C687" s="297"/>
      <c r="D687" s="66"/>
      <c r="E687" s="66"/>
      <c r="F687" s="355"/>
      <c r="G687" s="66"/>
      <c r="H687" s="355"/>
      <c r="I687" s="66"/>
      <c r="J687" s="355"/>
      <c r="K687" s="356"/>
      <c r="L687" s="63"/>
      <c r="M687" s="63"/>
      <c r="N687" s="63"/>
      <c r="O687" s="63"/>
      <c r="P687" s="63"/>
      <c r="Q687" s="63"/>
      <c r="R687" s="63"/>
      <c r="S687" s="63"/>
      <c r="T687" s="63"/>
    </row>
    <row r="688" ht="16.5" thickBot="1"/>
    <row r="689" spans="3:20" ht="16.5" thickTop="1">
      <c r="C689" s="175"/>
      <c r="D689" s="1061" t="s">
        <v>380</v>
      </c>
      <c r="E689" s="1058"/>
      <c r="F689" s="83"/>
      <c r="G689" s="255"/>
      <c r="H689" s="82"/>
      <c r="I689" s="255"/>
      <c r="J689" s="255"/>
      <c r="K689" s="177"/>
      <c r="L689" s="175"/>
      <c r="M689" s="1061" t="s">
        <v>380</v>
      </c>
      <c r="N689" s="1058"/>
      <c r="O689" s="83"/>
      <c r="P689" s="255"/>
      <c r="Q689" s="82"/>
      <c r="R689" s="255"/>
      <c r="S689" s="255"/>
      <c r="T689" s="177"/>
    </row>
    <row r="690" spans="3:20" ht="15.75">
      <c r="C690" s="203" t="s">
        <v>366</v>
      </c>
      <c r="D690" s="1062" t="s">
        <v>381</v>
      </c>
      <c r="E690" s="1060"/>
      <c r="F690" s="204" t="s">
        <v>368</v>
      </c>
      <c r="G690" s="204" t="s">
        <v>341</v>
      </c>
      <c r="H690" s="205" t="s">
        <v>272</v>
      </c>
      <c r="I690" s="205"/>
      <c r="J690" s="205"/>
      <c r="K690" s="256" t="s">
        <v>225</v>
      </c>
      <c r="L690" s="203" t="s">
        <v>366</v>
      </c>
      <c r="M690" s="1062" t="s">
        <v>381</v>
      </c>
      <c r="N690" s="1060"/>
      <c r="O690" s="204" t="s">
        <v>368</v>
      </c>
      <c r="P690" s="204" t="s">
        <v>341</v>
      </c>
      <c r="Q690" s="205" t="s">
        <v>272</v>
      </c>
      <c r="R690" s="205"/>
      <c r="S690" s="205"/>
      <c r="T690" s="256" t="s">
        <v>225</v>
      </c>
    </row>
    <row r="691" spans="3:20" ht="15.75">
      <c r="C691" s="203" t="s">
        <v>402</v>
      </c>
      <c r="D691" s="68" t="s">
        <v>383</v>
      </c>
      <c r="E691" s="258" t="s">
        <v>403</v>
      </c>
      <c r="F691" s="204"/>
      <c r="G691" s="204"/>
      <c r="H691" s="205"/>
      <c r="I691" s="205"/>
      <c r="J691" s="205"/>
      <c r="K691" s="256" t="s">
        <v>328</v>
      </c>
      <c r="L691" s="203" t="s">
        <v>402</v>
      </c>
      <c r="M691" s="68" t="s">
        <v>383</v>
      </c>
      <c r="N691" s="258" t="s">
        <v>403</v>
      </c>
      <c r="O691" s="204"/>
      <c r="P691" s="204"/>
      <c r="Q691" s="205"/>
      <c r="R691" s="205"/>
      <c r="S691" s="205"/>
      <c r="T691" s="256" t="s">
        <v>328</v>
      </c>
    </row>
    <row r="692" spans="3:20" ht="16.5" thickBot="1">
      <c r="C692" s="127"/>
      <c r="D692" s="211" t="s">
        <v>335</v>
      </c>
      <c r="E692" s="211" t="s">
        <v>335</v>
      </c>
      <c r="F692" s="204" t="s">
        <v>371</v>
      </c>
      <c r="G692" s="204" t="s">
        <v>370</v>
      </c>
      <c r="H692" s="205" t="s">
        <v>342</v>
      </c>
      <c r="I692" s="211"/>
      <c r="J692" s="205"/>
      <c r="K692" s="256" t="s">
        <v>342</v>
      </c>
      <c r="L692" s="127"/>
      <c r="M692" s="211" t="s">
        <v>335</v>
      </c>
      <c r="N692" s="211" t="s">
        <v>335</v>
      </c>
      <c r="O692" s="204" t="s">
        <v>371</v>
      </c>
      <c r="P692" s="204" t="s">
        <v>370</v>
      </c>
      <c r="Q692" s="205" t="s">
        <v>342</v>
      </c>
      <c r="R692" s="211"/>
      <c r="S692" s="205"/>
      <c r="T692" s="256" t="s">
        <v>342</v>
      </c>
    </row>
    <row r="693" spans="3:20" ht="16.5" thickBot="1">
      <c r="C693" s="178" t="s">
        <v>261</v>
      </c>
      <c r="D693" s="179" t="s">
        <v>262</v>
      </c>
      <c r="E693" s="180" t="s">
        <v>263</v>
      </c>
      <c r="F693" s="179" t="s">
        <v>406</v>
      </c>
      <c r="G693" s="180" t="s">
        <v>372</v>
      </c>
      <c r="H693" s="179" t="s">
        <v>407</v>
      </c>
      <c r="I693" s="179" t="s">
        <v>408</v>
      </c>
      <c r="J693" s="179" t="s">
        <v>409</v>
      </c>
      <c r="K693" s="225" t="s">
        <v>344</v>
      </c>
      <c r="L693" s="178" t="s">
        <v>261</v>
      </c>
      <c r="M693" s="179" t="s">
        <v>262</v>
      </c>
      <c r="N693" s="180" t="s">
        <v>263</v>
      </c>
      <c r="O693" s="179" t="s">
        <v>406</v>
      </c>
      <c r="P693" s="180" t="s">
        <v>372</v>
      </c>
      <c r="Q693" s="179" t="s">
        <v>407</v>
      </c>
      <c r="R693" s="179" t="s">
        <v>408</v>
      </c>
      <c r="S693" s="179" t="s">
        <v>409</v>
      </c>
      <c r="T693" s="225" t="s">
        <v>344</v>
      </c>
    </row>
    <row r="694" spans="3:20" ht="15.75">
      <c r="C694" s="138"/>
      <c r="D694" s="165"/>
      <c r="E694" s="75"/>
      <c r="F694" s="165"/>
      <c r="G694" s="75"/>
      <c r="H694" s="68"/>
      <c r="I694" s="165"/>
      <c r="J694" s="165"/>
      <c r="K694" s="168"/>
      <c r="L694" s="138"/>
      <c r="M694" s="165"/>
      <c r="N694" s="75"/>
      <c r="O694" s="165"/>
      <c r="P694" s="75"/>
      <c r="Q694" s="68"/>
      <c r="R694" s="165"/>
      <c r="S694" s="165"/>
      <c r="T694" s="168"/>
    </row>
    <row r="695" spans="2:20" ht="15.75">
      <c r="B695" s="435">
        <v>39281</v>
      </c>
      <c r="C695" s="226" t="s">
        <v>424</v>
      </c>
      <c r="D695" s="165"/>
      <c r="E695" s="75"/>
      <c r="F695" s="165"/>
      <c r="G695" s="75"/>
      <c r="H695" s="68"/>
      <c r="I695" s="165"/>
      <c r="J695" s="165"/>
      <c r="K695" s="168"/>
      <c r="L695" s="138"/>
      <c r="M695" s="165"/>
      <c r="N695" s="75"/>
      <c r="O695" s="165"/>
      <c r="P695" s="75"/>
      <c r="Q695" s="68"/>
      <c r="R695" s="165"/>
      <c r="S695" s="165"/>
      <c r="T695" s="168"/>
    </row>
    <row r="696" spans="3:20" ht="15.75">
      <c r="C696" s="284"/>
      <c r="D696" s="231">
        <f>(0.3+1)/2</f>
        <v>0.65</v>
      </c>
      <c r="E696" s="347">
        <v>1.6</v>
      </c>
      <c r="F696" s="165">
        <f>D696*E696</f>
        <v>1.04</v>
      </c>
      <c r="G696" s="348">
        <f>B655</f>
        <v>236.04999999999993</v>
      </c>
      <c r="H696" s="165">
        <f>G696*F696</f>
        <v>245.49199999999993</v>
      </c>
      <c r="I696" s="68"/>
      <c r="J696" s="165"/>
      <c r="K696" s="346"/>
      <c r="L696" s="107"/>
      <c r="M696" s="231"/>
      <c r="N696" s="347"/>
      <c r="O696" s="165"/>
      <c r="P696" s="348"/>
      <c r="Q696" s="165"/>
      <c r="R696" s="68"/>
      <c r="S696" s="165"/>
      <c r="T696" s="346"/>
    </row>
    <row r="697" spans="3:20" ht="15.75">
      <c r="C697" s="284"/>
      <c r="D697" s="231"/>
      <c r="E697" s="357"/>
      <c r="F697" s="165"/>
      <c r="G697" s="358"/>
      <c r="H697" s="165"/>
      <c r="I697" s="68"/>
      <c r="J697" s="165"/>
      <c r="K697" s="346"/>
      <c r="L697" s="93"/>
      <c r="M697" s="231"/>
      <c r="N697" s="347"/>
      <c r="O697" s="165"/>
      <c r="P697" s="348"/>
      <c r="Q697" s="165"/>
      <c r="R697" s="68"/>
      <c r="S697" s="165"/>
      <c r="T697" s="346"/>
    </row>
    <row r="698" spans="3:20" ht="15.75">
      <c r="C698" s="226" t="s">
        <v>425</v>
      </c>
      <c r="D698" s="231"/>
      <c r="E698" s="357"/>
      <c r="F698" s="165"/>
      <c r="G698" s="358"/>
      <c r="H698" s="165"/>
      <c r="I698" s="68"/>
      <c r="J698" s="165"/>
      <c r="K698" s="346"/>
      <c r="L698" s="93"/>
      <c r="M698" s="231"/>
      <c r="N698" s="347"/>
      <c r="O698" s="165"/>
      <c r="P698" s="348"/>
      <c r="Q698" s="165"/>
      <c r="R698" s="68"/>
      <c r="S698" s="165"/>
      <c r="T698" s="346"/>
    </row>
    <row r="699" spans="3:20" ht="15.75">
      <c r="C699" s="284"/>
      <c r="D699" s="231">
        <v>0.2</v>
      </c>
      <c r="E699" s="347">
        <v>1</v>
      </c>
      <c r="F699" s="165">
        <f>D699*E699</f>
        <v>0.2</v>
      </c>
      <c r="G699" s="348">
        <f>G696</f>
        <v>236.04999999999993</v>
      </c>
      <c r="H699" s="165">
        <f>G699*F699</f>
        <v>47.20999999999999</v>
      </c>
      <c r="I699" s="68"/>
      <c r="J699" s="165"/>
      <c r="K699" s="346"/>
      <c r="L699" s="93"/>
      <c r="M699" s="231"/>
      <c r="N699" s="347"/>
      <c r="O699" s="165"/>
      <c r="P699" s="348"/>
      <c r="Q699" s="165"/>
      <c r="R699" s="68"/>
      <c r="S699" s="165"/>
      <c r="T699" s="346"/>
    </row>
    <row r="700" spans="3:20" ht="15.75">
      <c r="C700" s="284"/>
      <c r="D700" s="231"/>
      <c r="E700" s="357"/>
      <c r="F700" s="165"/>
      <c r="G700" s="348"/>
      <c r="H700" s="165"/>
      <c r="I700" s="68"/>
      <c r="J700" s="165"/>
      <c r="K700" s="346"/>
      <c r="L700" s="93"/>
      <c r="M700" s="231"/>
      <c r="N700" s="347"/>
      <c r="O700" s="165"/>
      <c r="P700" s="348"/>
      <c r="Q700" s="165"/>
      <c r="R700" s="68"/>
      <c r="S700" s="165"/>
      <c r="T700" s="346"/>
    </row>
    <row r="701" spans="3:20" ht="15.75">
      <c r="C701" s="226" t="s">
        <v>426</v>
      </c>
      <c r="D701" s="231"/>
      <c r="E701" s="357"/>
      <c r="F701" s="165"/>
      <c r="G701" s="227"/>
      <c r="H701" s="165"/>
      <c r="I701" s="68"/>
      <c r="J701" s="165"/>
      <c r="K701" s="346"/>
      <c r="L701" s="353"/>
      <c r="M701" s="231"/>
      <c r="N701" s="347"/>
      <c r="O701" s="165"/>
      <c r="P701" s="348"/>
      <c r="Q701" s="165"/>
      <c r="R701" s="68"/>
      <c r="S701" s="165"/>
      <c r="T701" s="346"/>
    </row>
    <row r="702" spans="3:20" ht="15.75">
      <c r="C702" s="284"/>
      <c r="D702" s="231">
        <v>1.2</v>
      </c>
      <c r="E702" s="347">
        <v>1</v>
      </c>
      <c r="F702" s="165">
        <f>D702*E702</f>
        <v>1.2</v>
      </c>
      <c r="G702" s="348">
        <f>G696</f>
        <v>236.04999999999993</v>
      </c>
      <c r="H702" s="165">
        <f>G702*F702</f>
        <v>283.2599999999999</v>
      </c>
      <c r="I702" s="68"/>
      <c r="J702" s="165"/>
      <c r="K702" s="346"/>
      <c r="L702" s="93"/>
      <c r="M702" s="231"/>
      <c r="N702" s="347"/>
      <c r="O702" s="165"/>
      <c r="P702" s="348"/>
      <c r="Q702" s="165"/>
      <c r="R702" s="68"/>
      <c r="S702" s="165"/>
      <c r="T702" s="346"/>
    </row>
    <row r="703" spans="3:20" ht="15.75">
      <c r="C703" s="284"/>
      <c r="D703" s="231"/>
      <c r="E703" s="357"/>
      <c r="F703" s="165"/>
      <c r="G703" s="348"/>
      <c r="H703" s="165"/>
      <c r="I703" s="68"/>
      <c r="J703" s="165"/>
      <c r="K703" s="346"/>
      <c r="L703" s="93"/>
      <c r="M703" s="231"/>
      <c r="N703" s="347"/>
      <c r="O703" s="165"/>
      <c r="P703" s="348"/>
      <c r="Q703" s="165"/>
      <c r="R703" s="68"/>
      <c r="S703" s="165"/>
      <c r="T703" s="346"/>
    </row>
    <row r="704" spans="3:20" ht="15.75">
      <c r="C704" s="226" t="s">
        <v>427</v>
      </c>
      <c r="D704" s="231"/>
      <c r="E704" s="357"/>
      <c r="F704" s="165"/>
      <c r="G704" s="169"/>
      <c r="H704" s="165"/>
      <c r="I704" s="68"/>
      <c r="J704" s="165"/>
      <c r="K704" s="346"/>
      <c r="L704" s="93"/>
      <c r="M704" s="231"/>
      <c r="N704" s="347"/>
      <c r="O704" s="165"/>
      <c r="P704" s="348"/>
      <c r="Q704" s="165"/>
      <c r="R704" s="68"/>
      <c r="S704" s="165"/>
      <c r="T704" s="346"/>
    </row>
    <row r="705" spans="3:20" ht="15.75">
      <c r="C705" s="284"/>
      <c r="D705" s="231">
        <v>0.1</v>
      </c>
      <c r="E705" s="347">
        <v>1</v>
      </c>
      <c r="F705" s="165">
        <f>D705*E705</f>
        <v>0.1</v>
      </c>
      <c r="G705" s="348">
        <f>G696</f>
        <v>236.04999999999993</v>
      </c>
      <c r="H705" s="165">
        <f>G705*F705</f>
        <v>23.604999999999993</v>
      </c>
      <c r="I705" s="68"/>
      <c r="J705" s="165"/>
      <c r="K705" s="346"/>
      <c r="L705" s="107"/>
      <c r="M705" s="231"/>
      <c r="N705" s="347"/>
      <c r="O705" s="165"/>
      <c r="P705" s="348"/>
      <c r="Q705" s="165"/>
      <c r="R705" s="68"/>
      <c r="S705" s="165"/>
      <c r="T705" s="346"/>
    </row>
    <row r="706" spans="3:20" ht="15.75">
      <c r="C706" s="284"/>
      <c r="D706" s="231"/>
      <c r="E706" s="357"/>
      <c r="F706" s="165"/>
      <c r="G706" s="52"/>
      <c r="H706" s="165"/>
      <c r="I706" s="68"/>
      <c r="J706" s="165"/>
      <c r="K706" s="346"/>
      <c r="L706" s="107"/>
      <c r="M706" s="231"/>
      <c r="N706" s="347"/>
      <c r="O706" s="165"/>
      <c r="P706" s="348"/>
      <c r="Q706" s="165"/>
      <c r="R706" s="167"/>
      <c r="S706" s="165"/>
      <c r="T706" s="346"/>
    </row>
    <row r="707" spans="3:20" ht="15.75">
      <c r="C707" s="226" t="s">
        <v>428</v>
      </c>
      <c r="D707" s="231"/>
      <c r="E707" s="357"/>
      <c r="F707" s="165">
        <v>0.6</v>
      </c>
      <c r="G707" s="52"/>
      <c r="H707" s="165">
        <f>F707*H702</f>
        <v>169.95599999999993</v>
      </c>
      <c r="I707" s="68"/>
      <c r="J707" s="165"/>
      <c r="K707" s="346"/>
      <c r="L707" s="107"/>
      <c r="M707" s="231"/>
      <c r="N707" s="347"/>
      <c r="O707" s="165"/>
      <c r="P707" s="348"/>
      <c r="Q707" s="165"/>
      <c r="R707" s="68"/>
      <c r="S707" s="165"/>
      <c r="T707" s="346"/>
    </row>
    <row r="708" spans="3:20" ht="15.75">
      <c r="C708" s="263"/>
      <c r="D708" s="231"/>
      <c r="E708" s="357"/>
      <c r="F708" s="165"/>
      <c r="G708" s="52"/>
      <c r="H708" s="165"/>
      <c r="I708" s="68"/>
      <c r="J708" s="165"/>
      <c r="K708" s="346"/>
      <c r="L708" s="144"/>
      <c r="M708" s="231"/>
      <c r="N708" s="347"/>
      <c r="O708" s="165"/>
      <c r="P708" s="348"/>
      <c r="Q708" s="165"/>
      <c r="R708" s="167"/>
      <c r="S708" s="165"/>
      <c r="T708" s="346"/>
    </row>
    <row r="709" spans="3:20" ht="15.75">
      <c r="C709" s="263"/>
      <c r="D709" s="231"/>
      <c r="E709" s="357"/>
      <c r="F709" s="165"/>
      <c r="G709" s="52"/>
      <c r="H709" s="165"/>
      <c r="I709" s="68"/>
      <c r="J709" s="165"/>
      <c r="K709" s="346"/>
      <c r="L709" s="107"/>
      <c r="M709" s="231"/>
      <c r="N709" s="347"/>
      <c r="O709" s="165"/>
      <c r="P709" s="348"/>
      <c r="Q709" s="165"/>
      <c r="R709" s="68"/>
      <c r="S709" s="165"/>
      <c r="T709" s="346"/>
    </row>
    <row r="710" spans="3:20" ht="15.75">
      <c r="C710" s="263"/>
      <c r="D710" s="231"/>
      <c r="E710" s="357"/>
      <c r="F710" s="165"/>
      <c r="G710" s="52"/>
      <c r="H710" s="165"/>
      <c r="I710" s="68"/>
      <c r="J710" s="165"/>
      <c r="K710" s="346"/>
      <c r="L710" s="107"/>
      <c r="M710" s="231"/>
      <c r="N710" s="347"/>
      <c r="O710" s="165"/>
      <c r="P710" s="348"/>
      <c r="Q710" s="165"/>
      <c r="R710" s="68"/>
      <c r="S710" s="165"/>
      <c r="T710" s="346"/>
    </row>
    <row r="711" spans="3:20" ht="15.75">
      <c r="C711" s="263"/>
      <c r="D711" s="231"/>
      <c r="E711" s="357"/>
      <c r="F711" s="165"/>
      <c r="G711" s="52"/>
      <c r="H711" s="165"/>
      <c r="I711" s="68"/>
      <c r="J711" s="165"/>
      <c r="K711" s="346"/>
      <c r="L711" s="263"/>
      <c r="M711" s="231"/>
      <c r="N711" s="347"/>
      <c r="O711" s="165">
        <f>M711*N711</f>
        <v>0</v>
      </c>
      <c r="P711" s="348"/>
      <c r="Q711" s="165">
        <f>P711*O711</f>
        <v>0</v>
      </c>
      <c r="R711" s="68"/>
      <c r="S711" s="165"/>
      <c r="T711" s="346"/>
    </row>
    <row r="712" spans="3:20" ht="16.5" thickBot="1">
      <c r="C712" s="285"/>
      <c r="D712" s="360"/>
      <c r="E712" s="361"/>
      <c r="F712" s="170"/>
      <c r="G712" s="362"/>
      <c r="H712" s="170"/>
      <c r="I712" s="74"/>
      <c r="J712" s="170"/>
      <c r="K712" s="363"/>
      <c r="L712" s="285"/>
      <c r="M712" s="360"/>
      <c r="N712" s="361"/>
      <c r="O712" s="170"/>
      <c r="P712" s="362"/>
      <c r="Q712" s="170"/>
      <c r="R712" s="74"/>
      <c r="S712" s="170"/>
      <c r="T712" s="363"/>
    </row>
    <row r="713" ht="16.5" thickTop="1"/>
    <row r="716" ht="16.5" thickBot="1"/>
    <row r="717" spans="3:20" ht="16.5" thickTop="1">
      <c r="C717" s="364"/>
      <c r="D717" s="365"/>
      <c r="E717" s="366"/>
      <c r="F717" s="245"/>
      <c r="G717" s="176"/>
      <c r="H717" s="245"/>
      <c r="I717" s="161"/>
      <c r="J717" s="245"/>
      <c r="K717" s="367"/>
      <c r="L717" s="364"/>
      <c r="M717" s="365"/>
      <c r="N717" s="366"/>
      <c r="O717" s="245"/>
      <c r="P717" s="176"/>
      <c r="Q717" s="245"/>
      <c r="R717" s="161"/>
      <c r="S717" s="245"/>
      <c r="T717" s="367"/>
    </row>
    <row r="718" spans="3:20" ht="15.75">
      <c r="C718" s="359" t="s">
        <v>365</v>
      </c>
      <c r="D718" s="63"/>
      <c r="E718" s="97"/>
      <c r="F718" s="98"/>
      <c r="G718" s="97"/>
      <c r="H718" s="97"/>
      <c r="I718" s="98"/>
      <c r="J718" s="97"/>
      <c r="K718" s="346"/>
      <c r="L718" s="284"/>
      <c r="M718" s="63"/>
      <c r="N718" s="97"/>
      <c r="O718" s="98"/>
      <c r="P718" s="97"/>
      <c r="Q718" s="97"/>
      <c r="R718" s="98"/>
      <c r="S718" s="97"/>
      <c r="T718" s="346"/>
    </row>
    <row r="719" spans="3:20" ht="15.75">
      <c r="C719" s="359" t="s">
        <v>429</v>
      </c>
      <c r="D719" s="63"/>
      <c r="E719" s="98"/>
      <c r="F719" s="110"/>
      <c r="G719" s="98"/>
      <c r="H719" s="104"/>
      <c r="I719" s="98"/>
      <c r="J719" s="104"/>
      <c r="K719" s="346"/>
      <c r="L719" s="144" t="s">
        <v>430</v>
      </c>
      <c r="M719" s="231"/>
      <c r="N719" s="357"/>
      <c r="O719" s="165"/>
      <c r="P719" s="52"/>
      <c r="Q719" s="165"/>
      <c r="R719" s="68"/>
      <c r="S719" s="165"/>
      <c r="T719" s="368"/>
    </row>
    <row r="720" spans="3:20" ht="15.75">
      <c r="C720" s="369"/>
      <c r="D720" s="324"/>
      <c r="E720" s="1112" t="s">
        <v>398</v>
      </c>
      <c r="F720" s="1113"/>
      <c r="G720" s="1112"/>
      <c r="H720" s="1113"/>
      <c r="I720" s="1112"/>
      <c r="J720" s="1113"/>
      <c r="K720" s="352"/>
      <c r="L720" s="369"/>
      <c r="M720" s="324"/>
      <c r="N720" s="1112" t="s">
        <v>398</v>
      </c>
      <c r="O720" s="1113"/>
      <c r="P720" s="1112"/>
      <c r="Q720" s="1113"/>
      <c r="R720" s="1112"/>
      <c r="S720" s="1113"/>
      <c r="T720" s="346"/>
    </row>
    <row r="721" spans="3:20" ht="15.75">
      <c r="C721" s="284" t="s">
        <v>323</v>
      </c>
      <c r="D721" s="63" t="s">
        <v>399</v>
      </c>
      <c r="E721" s="97" t="s">
        <v>312</v>
      </c>
      <c r="F721" s="98" t="s">
        <v>328</v>
      </c>
      <c r="G721" s="97"/>
      <c r="H721" s="98"/>
      <c r="I721" s="97"/>
      <c r="J721" s="98"/>
      <c r="K721" s="346"/>
      <c r="L721" s="284" t="s">
        <v>323</v>
      </c>
      <c r="M721" s="63" t="s">
        <v>399</v>
      </c>
      <c r="N721" s="97" t="s">
        <v>312</v>
      </c>
      <c r="O721" s="98" t="s">
        <v>328</v>
      </c>
      <c r="P721" s="97"/>
      <c r="Q721" s="98"/>
      <c r="R721" s="97"/>
      <c r="S721" s="98"/>
      <c r="T721" s="346"/>
    </row>
    <row r="722" spans="3:20" ht="15.75">
      <c r="C722" s="249" t="s">
        <v>391</v>
      </c>
      <c r="D722" s="191">
        <f>R478</f>
        <v>0.048</v>
      </c>
      <c r="E722" s="97"/>
      <c r="F722" s="98">
        <f>E722*D722</f>
        <v>0</v>
      </c>
      <c r="G722" s="97"/>
      <c r="H722" s="97"/>
      <c r="I722" s="98"/>
      <c r="J722" s="97"/>
      <c r="K722" s="346"/>
      <c r="L722" s="249" t="s">
        <v>391</v>
      </c>
      <c r="M722" s="191">
        <f>R477</f>
        <v>0.025</v>
      </c>
      <c r="N722" s="97"/>
      <c r="O722" s="98">
        <f>N722*M722</f>
        <v>0</v>
      </c>
      <c r="P722" s="97"/>
      <c r="Q722" s="97"/>
      <c r="R722" s="98"/>
      <c r="S722" s="97"/>
      <c r="T722" s="346"/>
    </row>
    <row r="723" spans="3:20" ht="15.75">
      <c r="C723" s="249" t="s">
        <v>449</v>
      </c>
      <c r="D723" s="191"/>
      <c r="E723" s="97"/>
      <c r="F723" s="98">
        <f>E723*D723</f>
        <v>0</v>
      </c>
      <c r="G723" s="97"/>
      <c r="H723" s="97"/>
      <c r="I723" s="98"/>
      <c r="J723" s="97"/>
      <c r="K723" s="346"/>
      <c r="L723" s="249" t="s">
        <v>449</v>
      </c>
      <c r="M723" s="191"/>
      <c r="N723" s="97"/>
      <c r="O723" s="98">
        <f>N723*M723</f>
        <v>0</v>
      </c>
      <c r="P723" s="97"/>
      <c r="Q723" s="97">
        <f>P723*M723</f>
        <v>0</v>
      </c>
      <c r="R723" s="98"/>
      <c r="S723" s="97">
        <f>R723*M723</f>
        <v>0</v>
      </c>
      <c r="T723" s="346"/>
    </row>
    <row r="724" spans="3:20" ht="15.75">
      <c r="C724" s="249" t="s">
        <v>450</v>
      </c>
      <c r="D724" s="191"/>
      <c r="E724" s="97"/>
      <c r="F724" s="98">
        <f>E724*D724</f>
        <v>0</v>
      </c>
      <c r="G724" s="97"/>
      <c r="H724" s="97"/>
      <c r="I724" s="98"/>
      <c r="J724" s="97"/>
      <c r="K724" s="346"/>
      <c r="L724" s="249" t="s">
        <v>450</v>
      </c>
      <c r="M724" s="191"/>
      <c r="N724" s="97"/>
      <c r="O724" s="98">
        <f>N724*M724</f>
        <v>0</v>
      </c>
      <c r="P724" s="97"/>
      <c r="Q724" s="97">
        <f>P724*M724</f>
        <v>0</v>
      </c>
      <c r="R724" s="98"/>
      <c r="S724" s="97">
        <f>R724*M724</f>
        <v>0</v>
      </c>
      <c r="T724" s="346"/>
    </row>
    <row r="725" spans="3:20" ht="15.75">
      <c r="C725" s="249" t="s">
        <v>256</v>
      </c>
      <c r="D725" s="191"/>
      <c r="E725" s="97"/>
      <c r="F725" s="98">
        <f>E725*D725</f>
        <v>0</v>
      </c>
      <c r="G725" s="97"/>
      <c r="H725" s="97"/>
      <c r="I725" s="98"/>
      <c r="J725" s="97"/>
      <c r="K725" s="346"/>
      <c r="L725" s="249" t="s">
        <v>256</v>
      </c>
      <c r="M725" s="191"/>
      <c r="N725" s="97"/>
      <c r="O725" s="98">
        <f>N725*M725</f>
        <v>0</v>
      </c>
      <c r="P725" s="97"/>
      <c r="Q725" s="97">
        <f>P725*M725</f>
        <v>0</v>
      </c>
      <c r="R725" s="98"/>
      <c r="S725" s="97">
        <f>R725*M725</f>
        <v>0</v>
      </c>
      <c r="T725" s="346"/>
    </row>
    <row r="726" spans="3:20" ht="15.75">
      <c r="C726" s="249"/>
      <c r="D726" s="191"/>
      <c r="E726" s="97"/>
      <c r="F726" s="98"/>
      <c r="G726" s="97"/>
      <c r="H726" s="97"/>
      <c r="I726" s="97"/>
      <c r="J726" s="97"/>
      <c r="K726" s="346"/>
      <c r="L726" s="249"/>
      <c r="M726" s="191"/>
      <c r="N726" s="98"/>
      <c r="O726" s="98"/>
      <c r="P726" s="98"/>
      <c r="Q726" s="97"/>
      <c r="R726" s="97"/>
      <c r="S726" s="97"/>
      <c r="T726" s="346"/>
    </row>
    <row r="727" spans="3:20" ht="15.75">
      <c r="C727" s="249"/>
      <c r="D727" s="191"/>
      <c r="E727" s="97"/>
      <c r="F727" s="98"/>
      <c r="G727" s="97"/>
      <c r="H727" s="97"/>
      <c r="I727" s="97"/>
      <c r="J727" s="97"/>
      <c r="K727" s="346"/>
      <c r="L727" s="249"/>
      <c r="M727" s="191"/>
      <c r="N727" s="98"/>
      <c r="O727" s="98">
        <f>SUM(O722:O725)</f>
        <v>0</v>
      </c>
      <c r="P727" s="98"/>
      <c r="Q727" s="97">
        <f>SUM(Q722:Q725)</f>
        <v>0</v>
      </c>
      <c r="R727" s="97"/>
      <c r="S727" s="97">
        <f>SUM(S722:S725)</f>
        <v>0</v>
      </c>
      <c r="T727" s="346"/>
    </row>
    <row r="728" spans="3:20" ht="15.75">
      <c r="C728" s="249"/>
      <c r="D728" s="191"/>
      <c r="E728" s="97"/>
      <c r="F728" s="98"/>
      <c r="G728" s="97"/>
      <c r="H728" s="97"/>
      <c r="I728" s="97"/>
      <c r="J728" s="97"/>
      <c r="K728" s="346"/>
      <c r="L728" s="263"/>
      <c r="M728" s="231"/>
      <c r="N728" s="357"/>
      <c r="O728" s="165"/>
      <c r="P728" s="52"/>
      <c r="Q728" s="165"/>
      <c r="R728" s="68"/>
      <c r="S728" s="165"/>
      <c r="T728" s="346"/>
    </row>
    <row r="729" spans="3:20" ht="15.75">
      <c r="C729" s="249"/>
      <c r="D729" s="191"/>
      <c r="E729" s="97"/>
      <c r="F729" s="98"/>
      <c r="G729" s="97"/>
      <c r="H729" s="97"/>
      <c r="I729" s="97"/>
      <c r="J729" s="97"/>
      <c r="K729" s="346"/>
      <c r="L729" s="144" t="s">
        <v>431</v>
      </c>
      <c r="M729" s="231"/>
      <c r="N729" s="357"/>
      <c r="O729" s="165"/>
      <c r="P729" s="52"/>
      <c r="Q729" s="165"/>
      <c r="R729" s="68"/>
      <c r="S729" s="165"/>
      <c r="T729" s="368"/>
    </row>
    <row r="730" spans="3:20" ht="15.75">
      <c r="C730" s="249"/>
      <c r="D730" s="191"/>
      <c r="E730" s="97"/>
      <c r="F730" s="98"/>
      <c r="G730" s="97"/>
      <c r="H730" s="97"/>
      <c r="I730" s="98"/>
      <c r="J730" s="97"/>
      <c r="K730" s="346"/>
      <c r="L730" s="369"/>
      <c r="M730" s="324"/>
      <c r="N730" s="257" t="s">
        <v>398</v>
      </c>
      <c r="O730" s="229"/>
      <c r="P730" s="257"/>
      <c r="Q730" s="229"/>
      <c r="R730" s="257"/>
      <c r="S730" s="229"/>
      <c r="T730" s="346"/>
    </row>
    <row r="731" spans="3:20" ht="15.75">
      <c r="C731" s="249"/>
      <c r="D731" s="191"/>
      <c r="E731" s="97"/>
      <c r="F731" s="98"/>
      <c r="G731" s="97"/>
      <c r="H731" s="97"/>
      <c r="I731" s="98"/>
      <c r="J731" s="97"/>
      <c r="K731" s="346"/>
      <c r="L731" s="284" t="s">
        <v>323</v>
      </c>
      <c r="M731" s="63" t="s">
        <v>399</v>
      </c>
      <c r="N731" s="97" t="s">
        <v>312</v>
      </c>
      <c r="O731" s="98" t="s">
        <v>328</v>
      </c>
      <c r="P731" s="97"/>
      <c r="Q731" s="98"/>
      <c r="R731" s="97"/>
      <c r="S731" s="98"/>
      <c r="T731" s="346"/>
    </row>
    <row r="732" spans="3:20" ht="15.75">
      <c r="C732" s="249"/>
      <c r="D732" s="191"/>
      <c r="E732" s="98"/>
      <c r="F732" s="98"/>
      <c r="G732" s="98"/>
      <c r="H732" s="97"/>
      <c r="I732" s="98"/>
      <c r="J732" s="97"/>
      <c r="K732" s="346"/>
      <c r="L732" s="249"/>
      <c r="M732" s="191"/>
      <c r="N732" s="97"/>
      <c r="O732" s="98"/>
      <c r="P732" s="97"/>
      <c r="Q732" s="97"/>
      <c r="R732" s="97"/>
      <c r="S732" s="97"/>
      <c r="T732" s="346"/>
    </row>
    <row r="733" spans="3:20" ht="15.75">
      <c r="C733" s="263"/>
      <c r="D733" s="231"/>
      <c r="E733" s="357"/>
      <c r="F733" s="165"/>
      <c r="G733" s="52"/>
      <c r="H733" s="165"/>
      <c r="I733" s="68"/>
      <c r="J733" s="165"/>
      <c r="K733" s="346"/>
      <c r="L733" s="249"/>
      <c r="M733" s="191"/>
      <c r="N733" s="97"/>
      <c r="O733" s="98"/>
      <c r="P733" s="97"/>
      <c r="Q733" s="97"/>
      <c r="R733" s="97"/>
      <c r="S733" s="97"/>
      <c r="T733" s="346"/>
    </row>
    <row r="734" spans="3:20" ht="15.75">
      <c r="C734" s="249"/>
      <c r="D734" s="191"/>
      <c r="E734" s="97"/>
      <c r="F734" s="98"/>
      <c r="G734" s="52"/>
      <c r="H734" s="165"/>
      <c r="I734" s="68"/>
      <c r="J734" s="165"/>
      <c r="K734" s="346"/>
      <c r="L734" s="249"/>
      <c r="M734" s="191"/>
      <c r="N734" s="97"/>
      <c r="O734" s="98"/>
      <c r="P734" s="97"/>
      <c r="Q734" s="97"/>
      <c r="R734" s="97"/>
      <c r="S734" s="97"/>
      <c r="T734" s="346"/>
    </row>
    <row r="735" spans="3:20" ht="15.75">
      <c r="C735" s="249"/>
      <c r="D735" s="191"/>
      <c r="E735" s="97"/>
      <c r="F735" s="98"/>
      <c r="G735" s="52"/>
      <c r="H735" s="165"/>
      <c r="I735" s="68"/>
      <c r="J735" s="165"/>
      <c r="K735" s="346"/>
      <c r="L735" s="249"/>
      <c r="M735" s="191"/>
      <c r="N735" s="98"/>
      <c r="O735" s="98"/>
      <c r="P735" s="98"/>
      <c r="Q735" s="97"/>
      <c r="R735" s="97"/>
      <c r="S735" s="97"/>
      <c r="T735" s="346"/>
    </row>
    <row r="736" spans="3:20" ht="15.75">
      <c r="C736" s="249"/>
      <c r="D736" s="191"/>
      <c r="E736" s="97"/>
      <c r="F736" s="98"/>
      <c r="G736" s="52"/>
      <c r="H736" s="165"/>
      <c r="I736" s="68"/>
      <c r="J736" s="165"/>
      <c r="K736" s="346"/>
      <c r="L736" s="249"/>
      <c r="M736" s="191"/>
      <c r="N736" s="98"/>
      <c r="O736" s="98"/>
      <c r="P736" s="98"/>
      <c r="Q736" s="97"/>
      <c r="R736" s="97"/>
      <c r="S736" s="97"/>
      <c r="T736" s="346"/>
    </row>
    <row r="737" spans="3:20" ht="15.75">
      <c r="C737" s="263"/>
      <c r="D737" s="231"/>
      <c r="E737" s="357"/>
      <c r="F737" s="230">
        <f>SUM(F734:F736)</f>
        <v>0</v>
      </c>
      <c r="G737" s="52"/>
      <c r="H737" s="165"/>
      <c r="I737" s="68"/>
      <c r="J737" s="165"/>
      <c r="K737" s="346"/>
      <c r="L737" s="249"/>
      <c r="M737" s="191"/>
      <c r="N737" s="98"/>
      <c r="O737" s="98"/>
      <c r="P737" s="98"/>
      <c r="Q737" s="97"/>
      <c r="R737" s="97"/>
      <c r="S737" s="97"/>
      <c r="T737" s="346"/>
    </row>
    <row r="738" spans="3:20" ht="15.75">
      <c r="C738" s="263"/>
      <c r="D738" s="231"/>
      <c r="E738" s="357"/>
      <c r="F738" s="165"/>
      <c r="G738" s="52"/>
      <c r="H738" s="165"/>
      <c r="I738" s="68"/>
      <c r="J738" s="165"/>
      <c r="K738" s="346"/>
      <c r="L738" s="249"/>
      <c r="M738" s="191"/>
      <c r="N738" s="98"/>
      <c r="O738" s="98"/>
      <c r="P738" s="98"/>
      <c r="Q738" s="97"/>
      <c r="R738" s="97"/>
      <c r="S738" s="97"/>
      <c r="T738" s="346"/>
    </row>
    <row r="739" spans="3:20" ht="16.5" thickBot="1">
      <c r="C739" s="285"/>
      <c r="D739" s="360"/>
      <c r="E739" s="361"/>
      <c r="F739" s="170"/>
      <c r="G739" s="76"/>
      <c r="H739" s="170"/>
      <c r="I739" s="74"/>
      <c r="J739" s="170"/>
      <c r="K739" s="363"/>
      <c r="L739" s="285"/>
      <c r="M739" s="360"/>
      <c r="N739" s="361"/>
      <c r="O739" s="170"/>
      <c r="P739" s="76"/>
      <c r="Q739" s="170"/>
      <c r="R739" s="74"/>
      <c r="S739" s="170"/>
      <c r="T739" s="363"/>
    </row>
    <row r="740" ht="16.5" thickTop="1"/>
    <row r="741" spans="2:16" ht="16.5" thickBot="1">
      <c r="B741" s="513"/>
      <c r="C741" s="513"/>
      <c r="D741" s="513"/>
      <c r="E741" s="513"/>
      <c r="F741" s="513"/>
      <c r="G741" s="513"/>
      <c r="H741" s="513"/>
      <c r="I741" s="513"/>
      <c r="J741" s="513"/>
      <c r="K741" s="513"/>
      <c r="L741" s="513"/>
      <c r="M741" s="513"/>
      <c r="N741" s="513"/>
      <c r="O741" s="513"/>
      <c r="P741" s="513"/>
    </row>
    <row r="742" spans="2:16" ht="16.5" thickTop="1">
      <c r="B742" s="514"/>
      <c r="C742" s="514"/>
      <c r="D742" s="514"/>
      <c r="E742" s="514"/>
      <c r="F742" s="514"/>
      <c r="G742" s="514"/>
      <c r="H742" s="514"/>
      <c r="I742" s="514"/>
      <c r="J742" s="514"/>
      <c r="K742" s="514"/>
      <c r="L742" s="514"/>
      <c r="M742" s="514"/>
      <c r="N742" s="514"/>
      <c r="O742" s="514"/>
      <c r="P742" s="514"/>
    </row>
    <row r="744" ht="15.75">
      <c r="C744" s="503" t="s">
        <v>614</v>
      </c>
    </row>
    <row r="745" ht="16.5" thickBot="1"/>
    <row r="746" spans="3:11" ht="16.5" thickTop="1">
      <c r="C746" s="175"/>
      <c r="D746" s="1061" t="s">
        <v>380</v>
      </c>
      <c r="E746" s="1058"/>
      <c r="F746" s="83"/>
      <c r="G746" s="255"/>
      <c r="H746" s="82"/>
      <c r="I746" s="255"/>
      <c r="J746" s="255"/>
      <c r="K746" s="177"/>
    </row>
    <row r="747" spans="3:11" ht="15.75">
      <c r="C747" s="203" t="s">
        <v>366</v>
      </c>
      <c r="D747" s="1062" t="s">
        <v>381</v>
      </c>
      <c r="E747" s="1060"/>
      <c r="F747" s="204" t="s">
        <v>368</v>
      </c>
      <c r="G747" s="204" t="s">
        <v>341</v>
      </c>
      <c r="H747" s="205" t="s">
        <v>272</v>
      </c>
      <c r="I747" s="205"/>
      <c r="J747" s="205"/>
      <c r="K747" s="256" t="s">
        <v>225</v>
      </c>
    </row>
    <row r="748" spans="3:11" ht="15.75">
      <c r="C748" s="203" t="s">
        <v>402</v>
      </c>
      <c r="D748" s="68" t="s">
        <v>383</v>
      </c>
      <c r="E748" s="258" t="s">
        <v>403</v>
      </c>
      <c r="F748" s="204"/>
      <c r="G748" s="204"/>
      <c r="H748" s="205"/>
      <c r="I748" s="205"/>
      <c r="J748" s="205"/>
      <c r="K748" s="256" t="s">
        <v>328</v>
      </c>
    </row>
    <row r="749" spans="3:11" ht="16.5" thickBot="1">
      <c r="C749" s="127"/>
      <c r="D749" s="211" t="s">
        <v>335</v>
      </c>
      <c r="E749" s="211" t="s">
        <v>335</v>
      </c>
      <c r="F749" s="204" t="s">
        <v>371</v>
      </c>
      <c r="G749" s="204" t="s">
        <v>370</v>
      </c>
      <c r="H749" s="205" t="s">
        <v>342</v>
      </c>
      <c r="I749" s="211"/>
      <c r="J749" s="205"/>
      <c r="K749" s="256" t="s">
        <v>342</v>
      </c>
    </row>
    <row r="750" spans="3:11" ht="16.5" thickBot="1">
      <c r="C750" s="178" t="s">
        <v>261</v>
      </c>
      <c r="D750" s="179" t="s">
        <v>262</v>
      </c>
      <c r="E750" s="180" t="s">
        <v>263</v>
      </c>
      <c r="F750" s="179" t="s">
        <v>406</v>
      </c>
      <c r="G750" s="180" t="s">
        <v>372</v>
      </c>
      <c r="H750" s="179" t="s">
        <v>407</v>
      </c>
      <c r="I750" s="179" t="s">
        <v>408</v>
      </c>
      <c r="J750" s="179" t="s">
        <v>409</v>
      </c>
      <c r="K750" s="225" t="s">
        <v>344</v>
      </c>
    </row>
    <row r="751" spans="3:11" ht="15.75">
      <c r="C751" s="138"/>
      <c r="D751" s="165"/>
      <c r="E751" s="75"/>
      <c r="F751" s="165"/>
      <c r="G751" s="75"/>
      <c r="H751" s="68"/>
      <c r="I751" s="165"/>
      <c r="J751" s="165"/>
      <c r="K751" s="168"/>
    </row>
    <row r="752" spans="3:11" ht="15.75">
      <c r="C752" s="226" t="s">
        <v>424</v>
      </c>
      <c r="D752" s="165"/>
      <c r="E752" s="75"/>
      <c r="F752" s="165"/>
      <c r="G752" s="75">
        <f>3.05*5+2</f>
        <v>17.25</v>
      </c>
      <c r="H752" s="68"/>
      <c r="I752" s="165"/>
      <c r="J752" s="165"/>
      <c r="K752" s="168"/>
    </row>
    <row r="753" spans="3:11" ht="15.75">
      <c r="C753" s="284"/>
      <c r="D753" s="231">
        <f>(0.3+1)/2</f>
        <v>0.65</v>
      </c>
      <c r="E753" s="347">
        <v>1.2</v>
      </c>
      <c r="F753" s="165">
        <f>D753*E753</f>
        <v>0.78</v>
      </c>
      <c r="G753" s="348">
        <f>G752</f>
        <v>17.25</v>
      </c>
      <c r="H753" s="165">
        <f>G753*F753</f>
        <v>13.455</v>
      </c>
      <c r="I753" s="68"/>
      <c r="J753" s="165"/>
      <c r="K753" s="346"/>
    </row>
    <row r="754" spans="3:11" ht="15.75">
      <c r="C754" s="284"/>
      <c r="D754" s="231"/>
      <c r="E754" s="357"/>
      <c r="F754" s="165"/>
      <c r="G754" s="358"/>
      <c r="H754" s="165"/>
      <c r="I754" s="68"/>
      <c r="J754" s="165"/>
      <c r="K754" s="346"/>
    </row>
    <row r="755" spans="3:11" ht="15.75">
      <c r="C755" s="226" t="s">
        <v>425</v>
      </c>
      <c r="D755" s="231"/>
      <c r="E755" s="357"/>
      <c r="F755" s="165"/>
      <c r="G755" s="358"/>
      <c r="H755" s="165"/>
      <c r="I755" s="68"/>
      <c r="J755" s="165"/>
      <c r="K755" s="346"/>
    </row>
    <row r="756" spans="3:11" ht="15.75">
      <c r="C756" s="284"/>
      <c r="D756" s="231">
        <v>0.2</v>
      </c>
      <c r="E756" s="347">
        <v>1</v>
      </c>
      <c r="F756" s="165">
        <f>D756*E756</f>
        <v>0.2</v>
      </c>
      <c r="G756" s="348">
        <f>G753</f>
        <v>17.25</v>
      </c>
      <c r="H756" s="165">
        <f>G756*F756</f>
        <v>3.45</v>
      </c>
      <c r="I756" s="68"/>
      <c r="J756" s="165"/>
      <c r="K756" s="346"/>
    </row>
    <row r="757" spans="3:11" ht="15.75">
      <c r="C757" s="284"/>
      <c r="D757" s="231"/>
      <c r="E757" s="357"/>
      <c r="F757" s="165"/>
      <c r="G757" s="348"/>
      <c r="H757" s="165"/>
      <c r="I757" s="68"/>
      <c r="J757" s="165"/>
      <c r="K757" s="346"/>
    </row>
    <row r="758" spans="3:11" ht="15.75">
      <c r="C758" s="226" t="s">
        <v>426</v>
      </c>
      <c r="D758" s="231"/>
      <c r="E758" s="357"/>
      <c r="F758" s="165"/>
      <c r="G758" s="227"/>
      <c r="H758" s="165"/>
      <c r="I758" s="68"/>
      <c r="J758" s="165"/>
      <c r="K758" s="346"/>
    </row>
    <row r="759" spans="3:11" ht="15.75">
      <c r="C759" s="284"/>
      <c r="D759" s="231">
        <v>1.2</v>
      </c>
      <c r="E759" s="347">
        <v>1</v>
      </c>
      <c r="F759" s="165">
        <f>D759*E759</f>
        <v>1.2</v>
      </c>
      <c r="G759" s="348">
        <f>G753</f>
        <v>17.25</v>
      </c>
      <c r="H759" s="165">
        <f>G759*F759</f>
        <v>20.7</v>
      </c>
      <c r="I759" s="68"/>
      <c r="J759" s="165"/>
      <c r="K759" s="346"/>
    </row>
    <row r="760" spans="3:11" ht="15.75">
      <c r="C760" s="284"/>
      <c r="D760" s="231"/>
      <c r="E760" s="357"/>
      <c r="F760" s="165"/>
      <c r="G760" s="348"/>
      <c r="H760" s="165"/>
      <c r="I760" s="68"/>
      <c r="J760" s="165"/>
      <c r="K760" s="346"/>
    </row>
    <row r="761" spans="3:11" ht="15.75">
      <c r="C761" s="226" t="s">
        <v>427</v>
      </c>
      <c r="D761" s="231"/>
      <c r="E761" s="357"/>
      <c r="F761" s="165"/>
      <c r="G761" s="169"/>
      <c r="H761" s="165"/>
      <c r="I761" s="68"/>
      <c r="J761" s="165"/>
      <c r="K761" s="346"/>
    </row>
    <row r="762" spans="3:11" ht="15.75">
      <c r="C762" s="284"/>
      <c r="D762" s="231">
        <v>0.1</v>
      </c>
      <c r="E762" s="347">
        <v>1</v>
      </c>
      <c r="F762" s="165">
        <f>D762*E762</f>
        <v>0.1</v>
      </c>
      <c r="G762" s="348">
        <f>G753</f>
        <v>17.25</v>
      </c>
      <c r="H762" s="165">
        <f>G762*F762</f>
        <v>1.725</v>
      </c>
      <c r="I762" s="68"/>
      <c r="J762" s="165"/>
      <c r="K762" s="346"/>
    </row>
    <row r="763" spans="3:11" ht="15.75">
      <c r="C763" s="284"/>
      <c r="D763" s="231"/>
      <c r="E763" s="357"/>
      <c r="F763" s="165"/>
      <c r="G763" s="52"/>
      <c r="H763" s="165"/>
      <c r="I763" s="68"/>
      <c r="J763" s="165"/>
      <c r="K763" s="346"/>
    </row>
    <row r="764" spans="3:11" ht="15.75">
      <c r="C764" s="226" t="s">
        <v>428</v>
      </c>
      <c r="D764" s="231"/>
      <c r="E764" s="357"/>
      <c r="F764" s="165">
        <v>0.6</v>
      </c>
      <c r="G764" s="52"/>
      <c r="H764" s="165">
        <f>F764*H759</f>
        <v>12.42</v>
      </c>
      <c r="I764" s="68"/>
      <c r="J764" s="165"/>
      <c r="K764" s="346"/>
    </row>
    <row r="765" spans="3:11" ht="15.75">
      <c r="C765" s="263"/>
      <c r="D765" s="231"/>
      <c r="E765" s="357"/>
      <c r="F765" s="165"/>
      <c r="G765" s="52"/>
      <c r="H765" s="165"/>
      <c r="I765" s="68"/>
      <c r="J765" s="165"/>
      <c r="K765" s="346"/>
    </row>
    <row r="766" spans="3:11" ht="15.75">
      <c r="C766" s="263"/>
      <c r="D766" s="231"/>
      <c r="E766" s="357"/>
      <c r="F766" s="165"/>
      <c r="G766" s="52"/>
      <c r="H766" s="165"/>
      <c r="I766" s="68"/>
      <c r="J766" s="165"/>
      <c r="K766" s="346"/>
    </row>
    <row r="767" spans="3:11" ht="16.5" thickBot="1">
      <c r="C767" s="285"/>
      <c r="D767" s="360"/>
      <c r="E767" s="361"/>
      <c r="F767" s="170"/>
      <c r="G767" s="362"/>
      <c r="H767" s="170"/>
      <c r="I767" s="74"/>
      <c r="J767" s="170"/>
      <c r="K767" s="363"/>
    </row>
    <row r="768" ht="16.5" thickTop="1"/>
    <row r="769" ht="16.5" thickBot="1"/>
    <row r="770" spans="3:11" ht="16.5" thickTop="1">
      <c r="C770" s="192"/>
      <c r="D770" s="1063" t="s">
        <v>380</v>
      </c>
      <c r="E770" s="1064"/>
      <c r="F770" s="336"/>
      <c r="G770" s="337" t="s">
        <v>368</v>
      </c>
      <c r="H770" s="196"/>
      <c r="I770" s="337"/>
      <c r="J770" s="337"/>
      <c r="K770" s="197"/>
    </row>
    <row r="771" spans="3:11" ht="15.75">
      <c r="C771" s="199" t="s">
        <v>366</v>
      </c>
      <c r="D771" s="1065" t="s">
        <v>381</v>
      </c>
      <c r="E771" s="1066"/>
      <c r="F771" s="200" t="s">
        <v>368</v>
      </c>
      <c r="G771" s="200" t="s">
        <v>400</v>
      </c>
      <c r="H771" s="201" t="s">
        <v>401</v>
      </c>
      <c r="I771" s="201" t="s">
        <v>225</v>
      </c>
      <c r="J771" s="201" t="s">
        <v>225</v>
      </c>
      <c r="K771" s="338" t="s">
        <v>225</v>
      </c>
    </row>
    <row r="772" spans="3:11" ht="15.75">
      <c r="C772" s="199" t="s">
        <v>402</v>
      </c>
      <c r="D772" s="228" t="s">
        <v>382</v>
      </c>
      <c r="E772" s="228" t="s">
        <v>403</v>
      </c>
      <c r="F772" s="200"/>
      <c r="G772" s="200" t="s">
        <v>404</v>
      </c>
      <c r="H772" s="201" t="s">
        <v>405</v>
      </c>
      <c r="I772" s="201"/>
      <c r="J772" s="201" t="s">
        <v>368</v>
      </c>
      <c r="K772" s="338" t="s">
        <v>328</v>
      </c>
    </row>
    <row r="773" spans="3:11" ht="16.5" thickBot="1">
      <c r="C773" s="212"/>
      <c r="D773" s="210" t="s">
        <v>335</v>
      </c>
      <c r="E773" s="210" t="s">
        <v>335</v>
      </c>
      <c r="F773" s="200" t="s">
        <v>371</v>
      </c>
      <c r="G773" s="200" t="s">
        <v>371</v>
      </c>
      <c r="H773" s="201" t="s">
        <v>371</v>
      </c>
      <c r="I773" s="210" t="s">
        <v>360</v>
      </c>
      <c r="J773" s="201" t="s">
        <v>371</v>
      </c>
      <c r="K773" s="338" t="s">
        <v>371</v>
      </c>
    </row>
    <row r="774" spans="3:11" ht="16.5" thickBot="1">
      <c r="C774" s="221" t="s">
        <v>261</v>
      </c>
      <c r="D774" s="223" t="s">
        <v>262</v>
      </c>
      <c r="E774" s="222" t="s">
        <v>263</v>
      </c>
      <c r="F774" s="223" t="s">
        <v>406</v>
      </c>
      <c r="G774" s="222" t="s">
        <v>372</v>
      </c>
      <c r="H774" s="223" t="s">
        <v>407</v>
      </c>
      <c r="I774" s="223" t="s">
        <v>408</v>
      </c>
      <c r="J774" s="223" t="s">
        <v>409</v>
      </c>
      <c r="K774" s="224" t="s">
        <v>344</v>
      </c>
    </row>
    <row r="775" spans="3:11" ht="15.75">
      <c r="C775" s="306"/>
      <c r="D775" s="228"/>
      <c r="E775" s="227"/>
      <c r="F775" s="228"/>
      <c r="G775" s="227"/>
      <c r="H775" s="228"/>
      <c r="I775" s="228"/>
      <c r="J775" s="228"/>
      <c r="K775" s="339"/>
    </row>
    <row r="776" spans="3:11" ht="15.75">
      <c r="C776" s="226" t="s">
        <v>410</v>
      </c>
      <c r="D776" s="228"/>
      <c r="E776" s="227"/>
      <c r="F776" s="228"/>
      <c r="G776" s="227"/>
      <c r="H776" s="228"/>
      <c r="I776" s="228"/>
      <c r="J776" s="228"/>
      <c r="K776" s="340"/>
    </row>
    <row r="777" spans="3:11" ht="15.75">
      <c r="C777" s="226" t="s">
        <v>288</v>
      </c>
      <c r="D777" s="228"/>
      <c r="E777" s="227"/>
      <c r="F777" s="228"/>
      <c r="G777" s="227"/>
      <c r="H777" s="228"/>
      <c r="I777" s="228"/>
      <c r="J777" s="228"/>
      <c r="K777" s="340"/>
    </row>
    <row r="778" spans="3:11" ht="15.75">
      <c r="C778" s="249" t="s">
        <v>415</v>
      </c>
      <c r="D778" s="228"/>
      <c r="E778" s="227">
        <v>0.12</v>
      </c>
      <c r="F778" s="228"/>
      <c r="G778" s="227"/>
      <c r="H778" s="228"/>
      <c r="I778" s="228"/>
      <c r="J778" s="228"/>
      <c r="K778" s="340"/>
    </row>
    <row r="779" spans="3:11" ht="15.75">
      <c r="C779" s="342" t="s">
        <v>416</v>
      </c>
      <c r="D779" s="343"/>
      <c r="E779" s="344">
        <v>0.35</v>
      </c>
      <c r="F779" s="343" t="s">
        <v>41</v>
      </c>
      <c r="G779" s="227" t="s">
        <v>41</v>
      </c>
      <c r="H779" s="231" t="s">
        <v>41</v>
      </c>
      <c r="I779" s="228" t="s">
        <v>41</v>
      </c>
      <c r="J779" s="231" t="s">
        <v>41</v>
      </c>
      <c r="K779" s="345"/>
    </row>
    <row r="780" spans="2:11" ht="15.75">
      <c r="B780" s="291">
        <f>D780*I780</f>
        <v>3.05</v>
      </c>
      <c r="C780" s="249">
        <v>1</v>
      </c>
      <c r="D780" s="231">
        <v>3.05</v>
      </c>
      <c r="E780" s="347">
        <v>3.2</v>
      </c>
      <c r="F780" s="231">
        <f>E780*D780</f>
        <v>9.76</v>
      </c>
      <c r="G780" s="167">
        <f>J891</f>
        <v>2.8200000000000003</v>
      </c>
      <c r="H780" s="231">
        <f>F780-G780</f>
        <v>6.9399999999999995</v>
      </c>
      <c r="I780" s="228">
        <v>1</v>
      </c>
      <c r="J780" s="231">
        <f>I780*H780</f>
        <v>6.9399999999999995</v>
      </c>
      <c r="K780" s="349"/>
    </row>
    <row r="781" spans="2:11" ht="15.75">
      <c r="B781" s="291">
        <f>D781*I781</f>
        <v>3.05</v>
      </c>
      <c r="C781" s="249">
        <v>2</v>
      </c>
      <c r="D781" s="231">
        <v>3.05</v>
      </c>
      <c r="E781" s="347">
        <v>3.2</v>
      </c>
      <c r="F781" s="231">
        <f>E781*D781</f>
        <v>9.76</v>
      </c>
      <c r="G781" s="167">
        <f>J874*2</f>
        <v>3.7800000000000002</v>
      </c>
      <c r="H781" s="231">
        <f>F781-G781</f>
        <v>5.9799999999999995</v>
      </c>
      <c r="I781" s="228">
        <v>1</v>
      </c>
      <c r="J781" s="231">
        <f>I781*H781</f>
        <v>5.9799999999999995</v>
      </c>
      <c r="K781" s="349"/>
    </row>
    <row r="782" spans="2:11" ht="15.75">
      <c r="B782" s="291">
        <f>D782*I782</f>
        <v>2</v>
      </c>
      <c r="C782" s="249" t="s">
        <v>219</v>
      </c>
      <c r="D782" s="270">
        <v>2</v>
      </c>
      <c r="E782" s="347">
        <v>3.2</v>
      </c>
      <c r="F782" s="231">
        <f>E782*D782</f>
        <v>6.4</v>
      </c>
      <c r="G782" s="228">
        <f>S713</f>
        <v>0</v>
      </c>
      <c r="H782" s="231">
        <f>F782-G782</f>
        <v>6.4</v>
      </c>
      <c r="I782" s="228">
        <v>1</v>
      </c>
      <c r="J782" s="231">
        <f>I782*H782</f>
        <v>6.4</v>
      </c>
      <c r="K782" s="349"/>
    </row>
    <row r="783" spans="2:11" ht="15.75">
      <c r="B783" s="291">
        <f>D783*I783</f>
        <v>2</v>
      </c>
      <c r="C783" s="69" t="s">
        <v>188</v>
      </c>
      <c r="D783" s="270">
        <v>2</v>
      </c>
      <c r="E783" s="347">
        <v>3.2</v>
      </c>
      <c r="F783" s="231">
        <f>E783*D783</f>
        <v>6.4</v>
      </c>
      <c r="G783" s="228">
        <f>S666</f>
        <v>0</v>
      </c>
      <c r="H783" s="165">
        <f>F783-G783</f>
        <v>6.4</v>
      </c>
      <c r="I783" s="228">
        <v>1</v>
      </c>
      <c r="J783" s="165">
        <f>I783*H783</f>
        <v>6.4</v>
      </c>
      <c r="K783" s="349"/>
    </row>
    <row r="784" spans="2:11" ht="16.5" thickBot="1">
      <c r="B784" s="291">
        <f>D784*I784</f>
        <v>2</v>
      </c>
      <c r="C784" s="69" t="s">
        <v>189</v>
      </c>
      <c r="D784" s="231">
        <v>2</v>
      </c>
      <c r="E784" s="347">
        <v>3.2</v>
      </c>
      <c r="F784" s="231">
        <f>E784*D784</f>
        <v>6.4</v>
      </c>
      <c r="G784" s="370">
        <f>J880</f>
        <v>1.4300000000000002</v>
      </c>
      <c r="H784" s="165">
        <f>F784-G784</f>
        <v>4.970000000000001</v>
      </c>
      <c r="I784" s="228">
        <v>1</v>
      </c>
      <c r="J784" s="165">
        <f>I784*H784</f>
        <v>4.970000000000001</v>
      </c>
      <c r="K784" s="345">
        <f>SUM(J741:J784)</f>
        <v>30.689999999999998</v>
      </c>
    </row>
    <row r="785" spans="2:11" ht="15.75">
      <c r="B785" s="477">
        <f>SUM(B741:B784)</f>
        <v>12.1</v>
      </c>
      <c r="C785" s="107"/>
      <c r="D785" s="351">
        <f>SUM(D741:D784)</f>
        <v>14.25</v>
      </c>
      <c r="E785" s="347"/>
      <c r="F785" s="231"/>
      <c r="G785" s="68"/>
      <c r="H785" s="165"/>
      <c r="I785" s="68"/>
      <c r="J785" s="478"/>
      <c r="K785" s="491">
        <f>SUM(J741:J784)</f>
        <v>30.689999999999998</v>
      </c>
    </row>
    <row r="786" spans="3:11" ht="15.75">
      <c r="C786" s="107"/>
      <c r="D786" s="165"/>
      <c r="E786" s="347"/>
      <c r="F786" s="165"/>
      <c r="G786" s="68"/>
      <c r="H786" s="165"/>
      <c r="I786" s="68"/>
      <c r="J786" s="165"/>
      <c r="K786" s="346"/>
    </row>
    <row r="787" spans="3:11" ht="15.75">
      <c r="C787" s="138" t="s">
        <v>417</v>
      </c>
      <c r="D787" s="68"/>
      <c r="E787" s="52"/>
      <c r="F787" s="68"/>
      <c r="G787" s="52"/>
      <c r="H787" s="68"/>
      <c r="I787" s="68"/>
      <c r="J787" s="68"/>
      <c r="K787" s="346"/>
    </row>
    <row r="788" spans="3:11" ht="15.75">
      <c r="C788" s="263" t="s">
        <v>418</v>
      </c>
      <c r="D788" s="68"/>
      <c r="E788" s="52"/>
      <c r="F788" s="68"/>
      <c r="G788" s="52"/>
      <c r="H788" s="68"/>
      <c r="I788" s="167"/>
      <c r="J788" s="68"/>
      <c r="K788" s="346"/>
    </row>
    <row r="789" spans="3:11" ht="15.75">
      <c r="C789" s="263" t="s">
        <v>419</v>
      </c>
      <c r="D789" s="165">
        <f>B785</f>
        <v>12.1</v>
      </c>
      <c r="E789" s="75">
        <v>0.3</v>
      </c>
      <c r="F789" s="165">
        <f>E789*D789</f>
        <v>3.63</v>
      </c>
      <c r="G789" s="52">
        <v>0</v>
      </c>
      <c r="H789" s="165">
        <f>F789-G789</f>
        <v>3.63</v>
      </c>
      <c r="I789" s="68">
        <v>1</v>
      </c>
      <c r="J789" s="165">
        <f>I789*H789</f>
        <v>3.63</v>
      </c>
      <c r="K789" s="346"/>
    </row>
    <row r="790" spans="3:11" ht="15.75">
      <c r="C790" s="107"/>
      <c r="D790" s="165">
        <v>2</v>
      </c>
      <c r="E790" s="347">
        <v>1.8</v>
      </c>
      <c r="F790" s="165">
        <f>E790*D790</f>
        <v>3.6</v>
      </c>
      <c r="G790" s="227">
        <v>0</v>
      </c>
      <c r="H790" s="165">
        <f>F790-G790</f>
        <v>3.6</v>
      </c>
      <c r="I790" s="68">
        <v>1</v>
      </c>
      <c r="J790" s="165">
        <f>I790*H790</f>
        <v>3.6</v>
      </c>
      <c r="K790" s="346"/>
    </row>
    <row r="791" spans="3:11" ht="15.75">
      <c r="C791" s="107"/>
      <c r="D791" s="165">
        <v>2</v>
      </c>
      <c r="E791" s="347">
        <v>1.8</v>
      </c>
      <c r="F791" s="165">
        <f>E791*D791</f>
        <v>3.6</v>
      </c>
      <c r="G791" s="227">
        <v>0</v>
      </c>
      <c r="H791" s="165">
        <f>F791-G791</f>
        <v>3.6</v>
      </c>
      <c r="I791" s="68">
        <v>1</v>
      </c>
      <c r="J791" s="165">
        <f>I791*H791</f>
        <v>3.6</v>
      </c>
      <c r="K791" s="346"/>
    </row>
    <row r="792" spans="3:11" ht="15.75">
      <c r="C792" s="107"/>
      <c r="D792" s="165">
        <v>0.9</v>
      </c>
      <c r="E792" s="347">
        <v>1.8</v>
      </c>
      <c r="F792" s="165">
        <f>E792*D792</f>
        <v>1.62</v>
      </c>
      <c r="G792" s="227">
        <v>0</v>
      </c>
      <c r="H792" s="165">
        <f>F792-G792</f>
        <v>1.62</v>
      </c>
      <c r="I792" s="68">
        <v>1</v>
      </c>
      <c r="J792" s="165">
        <f>I792*H792</f>
        <v>1.62</v>
      </c>
      <c r="K792" s="346"/>
    </row>
    <row r="793" spans="3:11" ht="15.75">
      <c r="C793" s="107"/>
      <c r="D793" s="165"/>
      <c r="E793" s="347">
        <v>1.8</v>
      </c>
      <c r="F793" s="165">
        <f>E793*D793</f>
        <v>0</v>
      </c>
      <c r="G793" s="52">
        <v>0</v>
      </c>
      <c r="H793" s="165">
        <f>F793-G793</f>
        <v>0</v>
      </c>
      <c r="I793" s="68">
        <v>1</v>
      </c>
      <c r="J793" s="165">
        <f>I793*H793</f>
        <v>0</v>
      </c>
      <c r="K793" s="346">
        <f>SUM(J789:J793)</f>
        <v>12.45</v>
      </c>
    </row>
    <row r="794" spans="3:11" ht="15.75">
      <c r="C794" s="107"/>
      <c r="D794" s="165"/>
      <c r="E794" s="347"/>
      <c r="F794" s="165"/>
      <c r="G794" s="52"/>
      <c r="H794" s="165"/>
      <c r="I794" s="68"/>
      <c r="J794" s="165"/>
      <c r="K794" s="346"/>
    </row>
    <row r="795" spans="3:11" ht="15.75">
      <c r="C795" s="138" t="s">
        <v>420</v>
      </c>
      <c r="D795" s="68"/>
      <c r="E795" s="52"/>
      <c r="F795" s="68"/>
      <c r="G795" s="52"/>
      <c r="H795" s="68"/>
      <c r="I795" s="68"/>
      <c r="J795" s="68"/>
      <c r="K795" s="168">
        <f>K784-K793</f>
        <v>18.24</v>
      </c>
    </row>
    <row r="796" spans="3:11" ht="15.75">
      <c r="C796" s="138" t="s">
        <v>421</v>
      </c>
      <c r="D796" s="68"/>
      <c r="E796" s="52"/>
      <c r="F796" s="167">
        <f>K793</f>
        <v>12.45</v>
      </c>
      <c r="G796" s="52">
        <v>0</v>
      </c>
      <c r="H796" s="165">
        <f>F796-G796</f>
        <v>12.45</v>
      </c>
      <c r="I796" s="68">
        <v>2</v>
      </c>
      <c r="J796" s="165">
        <f>I796*H796</f>
        <v>24.9</v>
      </c>
      <c r="K796" s="168">
        <f>J796</f>
        <v>24.9</v>
      </c>
    </row>
    <row r="797" spans="3:11" ht="15.75">
      <c r="C797" s="138" t="s">
        <v>422</v>
      </c>
      <c r="D797" s="68"/>
      <c r="E797" s="52"/>
      <c r="F797" s="350">
        <f>K795</f>
        <v>18.24</v>
      </c>
      <c r="G797" s="52">
        <v>0</v>
      </c>
      <c r="H797" s="165">
        <f>F797-G797</f>
        <v>18.24</v>
      </c>
      <c r="I797" s="68">
        <v>2</v>
      </c>
      <c r="J797" s="165">
        <f>I797*H797</f>
        <v>36.48</v>
      </c>
      <c r="K797" s="168">
        <f>J797</f>
        <v>36.48</v>
      </c>
    </row>
    <row r="798" spans="3:11" ht="15.75">
      <c r="C798" s="246"/>
      <c r="D798" s="232"/>
      <c r="E798" s="344"/>
      <c r="F798" s="232"/>
      <c r="G798" s="247"/>
      <c r="H798" s="232"/>
      <c r="I798" s="247"/>
      <c r="J798" s="232"/>
      <c r="K798" s="368"/>
    </row>
    <row r="800" ht="16.5" thickBot="1"/>
    <row r="801" spans="3:11" ht="16.5" thickTop="1">
      <c r="C801" s="175"/>
      <c r="D801" s="176"/>
      <c r="E801" s="1057"/>
      <c r="F801" s="1058"/>
      <c r="G801" s="176"/>
      <c r="H801" s="82"/>
      <c r="I801" s="255"/>
      <c r="J801" s="255"/>
      <c r="K801" s="177"/>
    </row>
    <row r="802" spans="3:11" ht="15.75">
      <c r="C802" s="203" t="s">
        <v>366</v>
      </c>
      <c r="D802" s="208"/>
      <c r="E802" s="1059"/>
      <c r="F802" s="1060"/>
      <c r="G802" s="204" t="s">
        <v>368</v>
      </c>
      <c r="H802" s="205" t="s">
        <v>225</v>
      </c>
      <c r="I802" s="205" t="s">
        <v>225</v>
      </c>
      <c r="J802" s="205"/>
      <c r="K802" s="256" t="s">
        <v>225</v>
      </c>
    </row>
    <row r="803" spans="3:11" ht="15.75">
      <c r="C803" s="203"/>
      <c r="D803" s="211"/>
      <c r="E803" s="68"/>
      <c r="F803" s="259"/>
      <c r="G803" s="204"/>
      <c r="H803" s="211"/>
      <c r="I803" s="205" t="s">
        <v>368</v>
      </c>
      <c r="J803" s="205"/>
      <c r="K803" s="256" t="s">
        <v>328</v>
      </c>
    </row>
    <row r="804" spans="3:11" ht="16.5" thickBot="1">
      <c r="C804" s="127"/>
      <c r="D804" s="68"/>
      <c r="E804" s="211" t="s">
        <v>335</v>
      </c>
      <c r="F804" s="211" t="s">
        <v>335</v>
      </c>
      <c r="G804" s="204" t="s">
        <v>371</v>
      </c>
      <c r="H804" s="219"/>
      <c r="I804" s="205" t="s">
        <v>371</v>
      </c>
      <c r="J804" s="205"/>
      <c r="K804" s="220"/>
    </row>
    <row r="805" spans="3:11" ht="16.5" thickBot="1">
      <c r="C805" s="178" t="s">
        <v>261</v>
      </c>
      <c r="D805" s="179" t="s">
        <v>262</v>
      </c>
      <c r="E805" s="180" t="s">
        <v>263</v>
      </c>
      <c r="F805" s="179" t="s">
        <v>264</v>
      </c>
      <c r="G805" s="260" t="s">
        <v>374</v>
      </c>
      <c r="H805" s="179" t="s">
        <v>266</v>
      </c>
      <c r="I805" s="179" t="s">
        <v>373</v>
      </c>
      <c r="J805" s="179" t="s">
        <v>364</v>
      </c>
      <c r="K805" s="225" t="s">
        <v>344</v>
      </c>
    </row>
    <row r="806" spans="3:11" ht="15.75">
      <c r="C806" s="67"/>
      <c r="D806" s="261"/>
      <c r="E806" s="262"/>
      <c r="F806" s="68"/>
      <c r="G806" s="52"/>
      <c r="H806" s="68"/>
      <c r="I806" s="68"/>
      <c r="J806" s="68"/>
      <c r="K806" s="164"/>
    </row>
    <row r="807" spans="3:11" ht="15.75">
      <c r="C807" s="226" t="s">
        <v>375</v>
      </c>
      <c r="D807" s="68"/>
      <c r="E807" s="52"/>
      <c r="F807" s="68"/>
      <c r="G807" s="52"/>
      <c r="H807" s="68"/>
      <c r="I807" s="68"/>
      <c r="J807" s="68"/>
      <c r="K807" s="164"/>
    </row>
    <row r="808" spans="3:11" ht="15.75">
      <c r="C808" s="226" t="s">
        <v>452</v>
      </c>
      <c r="D808" s="68"/>
      <c r="E808" s="52"/>
      <c r="F808" s="68"/>
      <c r="G808" s="52"/>
      <c r="H808" s="68"/>
      <c r="I808" s="68"/>
      <c r="J808" s="68"/>
      <c r="K808" s="164"/>
    </row>
    <row r="809" spans="3:11" ht="15.75">
      <c r="C809" s="325"/>
      <c r="D809" s="165">
        <v>4.2</v>
      </c>
      <c r="E809" s="75">
        <v>4.2</v>
      </c>
      <c r="F809" s="75">
        <v>2.4</v>
      </c>
      <c r="G809" s="75">
        <f>(D809+E809)/2*F809</f>
        <v>10.08</v>
      </c>
      <c r="H809" s="68">
        <v>4</v>
      </c>
      <c r="I809" s="167">
        <f>G809*H809</f>
        <v>40.32</v>
      </c>
      <c r="J809" s="167"/>
      <c r="K809" s="164"/>
    </row>
    <row r="810" spans="3:11" ht="15.75">
      <c r="C810" s="325"/>
      <c r="D810" s="231"/>
      <c r="E810" s="347"/>
      <c r="F810" s="347"/>
      <c r="G810" s="75"/>
      <c r="H810" s="68"/>
      <c r="I810" s="167"/>
      <c r="J810" s="165">
        <f>SUM(I809:I810)</f>
        <v>40.32</v>
      </c>
      <c r="K810" s="168">
        <f>J810</f>
        <v>40.32</v>
      </c>
    </row>
    <row r="811" spans="3:11" ht="15.75">
      <c r="C811" s="107"/>
      <c r="D811" s="165"/>
      <c r="E811" s="75"/>
      <c r="F811" s="165"/>
      <c r="G811" s="75"/>
      <c r="H811" s="68"/>
      <c r="I811" s="167"/>
      <c r="J811" s="167"/>
      <c r="K811" s="168"/>
    </row>
    <row r="812" spans="3:11" ht="15.75">
      <c r="C812" s="138" t="s">
        <v>377</v>
      </c>
      <c r="D812" s="165"/>
      <c r="E812" s="75"/>
      <c r="F812" s="165"/>
      <c r="G812" s="75"/>
      <c r="H812" s="68"/>
      <c r="I812" s="165"/>
      <c r="J812" s="165"/>
      <c r="K812" s="168">
        <f>K810</f>
        <v>40.32</v>
      </c>
    </row>
    <row r="813" spans="3:11" ht="15.75">
      <c r="C813" s="107"/>
      <c r="D813" s="165"/>
      <c r="E813" s="75"/>
      <c r="F813" s="165"/>
      <c r="G813" s="75"/>
      <c r="H813" s="68"/>
      <c r="I813" s="165"/>
      <c r="J813" s="165"/>
      <c r="K813" s="164"/>
    </row>
    <row r="814" spans="3:11" ht="15.75">
      <c r="C814" s="107"/>
      <c r="D814" s="165"/>
      <c r="E814" s="75"/>
      <c r="F814" s="165"/>
      <c r="G814" s="75"/>
      <c r="H814" s="68"/>
      <c r="I814" s="165"/>
      <c r="J814" s="165"/>
      <c r="K814" s="164"/>
    </row>
    <row r="815" spans="3:11" ht="15.75">
      <c r="C815" s="138" t="s">
        <v>378</v>
      </c>
      <c r="D815" s="165"/>
      <c r="E815" s="75"/>
      <c r="F815" s="165"/>
      <c r="G815" s="75"/>
      <c r="H815" s="68"/>
      <c r="I815" s="165"/>
      <c r="J815" s="165"/>
      <c r="K815" s="168"/>
    </row>
    <row r="816" spans="3:11" ht="15.75">
      <c r="C816" s="93"/>
      <c r="D816" s="165">
        <v>3.19</v>
      </c>
      <c r="E816" s="75">
        <v>1</v>
      </c>
      <c r="F816" s="165">
        <v>1</v>
      </c>
      <c r="G816" s="75">
        <f>D816*E816*F816</f>
        <v>3.19</v>
      </c>
      <c r="H816" s="68">
        <v>4</v>
      </c>
      <c r="I816" s="165">
        <f>H816*G816</f>
        <v>12.76</v>
      </c>
      <c r="J816" s="165"/>
      <c r="K816" s="168"/>
    </row>
    <row r="817" spans="3:11" ht="15.75">
      <c r="C817" s="93"/>
      <c r="D817" s="165"/>
      <c r="E817" s="75"/>
      <c r="F817" s="165"/>
      <c r="G817" s="75"/>
      <c r="H817" s="68"/>
      <c r="I817" s="165"/>
      <c r="J817" s="165">
        <f>SUM(I816:I817)</f>
        <v>12.76</v>
      </c>
      <c r="K817" s="168">
        <f>J817</f>
        <v>12.76</v>
      </c>
    </row>
    <row r="818" spans="3:11" ht="15.75">
      <c r="C818" s="138" t="s">
        <v>379</v>
      </c>
      <c r="D818" s="75"/>
      <c r="E818" s="165"/>
      <c r="F818" s="165"/>
      <c r="G818" s="75"/>
      <c r="H818" s="68"/>
      <c r="I818" s="165"/>
      <c r="J818" s="165"/>
      <c r="K818" s="168"/>
    </row>
    <row r="819" spans="3:11" ht="15.75">
      <c r="C819" s="325"/>
      <c r="D819" s="124">
        <v>4</v>
      </c>
      <c r="E819" s="68">
        <v>1</v>
      </c>
      <c r="F819" s="68">
        <v>1</v>
      </c>
      <c r="G819" s="68">
        <f>D819*E819*F819</f>
        <v>4</v>
      </c>
      <c r="H819" s="68">
        <v>4</v>
      </c>
      <c r="I819" s="68">
        <f>G819*H819</f>
        <v>16</v>
      </c>
      <c r="J819" s="165"/>
      <c r="K819" s="168"/>
    </row>
    <row r="820" spans="3:11" ht="15.75">
      <c r="C820" s="263"/>
      <c r="D820" s="124"/>
      <c r="E820" s="68"/>
      <c r="F820" s="68"/>
      <c r="G820" s="68"/>
      <c r="H820" s="68"/>
      <c r="I820" s="68"/>
      <c r="J820" s="165">
        <f>SUM(I819:I820)</f>
        <v>16</v>
      </c>
      <c r="K820" s="168">
        <f>J820</f>
        <v>16</v>
      </c>
    </row>
    <row r="821" spans="3:11" ht="15.75">
      <c r="C821" s="144" t="s">
        <v>615</v>
      </c>
      <c r="D821" s="165"/>
      <c r="E821" s="75"/>
      <c r="F821" s="165"/>
      <c r="G821" s="75"/>
      <c r="H821" s="68"/>
      <c r="I821" s="165"/>
      <c r="J821" s="165"/>
      <c r="K821" s="168">
        <f>K817</f>
        <v>12.76</v>
      </c>
    </row>
    <row r="822" spans="3:11" ht="15.75">
      <c r="C822" s="144"/>
      <c r="D822" s="165"/>
      <c r="E822" s="75"/>
      <c r="F822" s="165"/>
      <c r="G822" s="75"/>
      <c r="H822" s="68"/>
      <c r="I822" s="165"/>
      <c r="J822" s="165"/>
      <c r="K822" s="168"/>
    </row>
    <row r="823" spans="3:11" ht="15.75">
      <c r="C823" s="138"/>
      <c r="D823" s="165"/>
      <c r="E823" s="75"/>
      <c r="F823" s="165"/>
      <c r="G823" s="75"/>
      <c r="H823" s="68"/>
      <c r="I823" s="165"/>
      <c r="J823" s="165"/>
      <c r="K823" s="168"/>
    </row>
    <row r="824" spans="3:11" ht="16.5" thickBot="1">
      <c r="C824" s="271"/>
      <c r="D824" s="170"/>
      <c r="E824" s="171"/>
      <c r="F824" s="170"/>
      <c r="G824" s="171"/>
      <c r="H824" s="74"/>
      <c r="I824" s="170"/>
      <c r="J824" s="170"/>
      <c r="K824" s="272"/>
    </row>
    <row r="825" ht="16.5" thickTop="1"/>
    <row r="826" ht="16.5" thickBot="1"/>
    <row r="827" spans="3:11" ht="16.5" thickTop="1">
      <c r="C827" s="125"/>
      <c r="D827" s="1067" t="s">
        <v>319</v>
      </c>
      <c r="E827" s="1068"/>
      <c r="F827" s="1068"/>
      <c r="G827" s="1069" t="s">
        <v>272</v>
      </c>
      <c r="H827" s="1068"/>
      <c r="I827" s="1068"/>
      <c r="J827" s="1068"/>
      <c r="K827" s="73"/>
    </row>
    <row r="828" spans="3:11" ht="15.75">
      <c r="C828" s="67" t="s">
        <v>323</v>
      </c>
      <c r="D828" s="68" t="s">
        <v>188</v>
      </c>
      <c r="E828" s="68" t="s">
        <v>324</v>
      </c>
      <c r="F828" s="52" t="s">
        <v>325</v>
      </c>
      <c r="G828" s="69" t="s">
        <v>326</v>
      </c>
      <c r="H828" s="68" t="s">
        <v>327</v>
      </c>
      <c r="I828" s="52" t="s">
        <v>328</v>
      </c>
      <c r="J828" s="1055" t="s">
        <v>328</v>
      </c>
      <c r="K828" s="1056"/>
    </row>
    <row r="829" spans="3:11" ht="16.5" thickBot="1">
      <c r="C829" s="72"/>
      <c r="D829" s="74" t="s">
        <v>335</v>
      </c>
      <c r="E829" s="74" t="s">
        <v>335</v>
      </c>
      <c r="F829" s="76" t="s">
        <v>335</v>
      </c>
      <c r="G829" s="77">
        <v>1</v>
      </c>
      <c r="H829" s="74" t="s">
        <v>326</v>
      </c>
      <c r="I829" s="76" t="s">
        <v>134</v>
      </c>
      <c r="J829" s="76"/>
      <c r="K829" s="78"/>
    </row>
    <row r="830" spans="3:11" ht="16.5" thickTop="1">
      <c r="C830" s="84"/>
      <c r="D830" s="82"/>
      <c r="E830" s="82"/>
      <c r="F830" s="82"/>
      <c r="G830" s="82"/>
      <c r="H830" s="82"/>
      <c r="I830" s="83"/>
      <c r="J830" s="83"/>
      <c r="K830" s="87"/>
    </row>
    <row r="831" spans="3:11" ht="15.75">
      <c r="C831" s="88" t="s">
        <v>636</v>
      </c>
      <c r="D831" s="94"/>
      <c r="E831" s="94"/>
      <c r="F831" s="94"/>
      <c r="G831" s="94"/>
      <c r="H831" s="94"/>
      <c r="I831" s="95"/>
      <c r="J831" s="95"/>
      <c r="K831" s="96"/>
    </row>
    <row r="832" spans="3:11" ht="15.75">
      <c r="C832" s="249" t="s">
        <v>642</v>
      </c>
      <c r="D832" s="374">
        <v>0.12</v>
      </c>
      <c r="E832" s="374">
        <v>0.12</v>
      </c>
      <c r="F832" s="94">
        <v>3.5</v>
      </c>
      <c r="G832" s="94">
        <f>F832*E832*D832</f>
        <v>0.05039999999999999</v>
      </c>
      <c r="H832" s="68">
        <v>8</v>
      </c>
      <c r="I832" s="95">
        <f>H832*G832</f>
        <v>0.40319999999999995</v>
      </c>
      <c r="J832" s="505">
        <f>I832</f>
        <v>0.40319999999999995</v>
      </c>
      <c r="K832" s="506">
        <f>J832</f>
        <v>0.40319999999999995</v>
      </c>
    </row>
    <row r="833" spans="3:11" ht="15.75">
      <c r="C833" s="212"/>
      <c r="D833" s="89"/>
      <c r="E833" s="89"/>
      <c r="F833" s="89"/>
      <c r="G833" s="89"/>
      <c r="H833" s="89"/>
      <c r="I833" s="90"/>
      <c r="J833" s="90"/>
      <c r="K833" s="85"/>
    </row>
    <row r="834" spans="3:11" ht="15.75">
      <c r="C834" s="212" t="s">
        <v>643</v>
      </c>
      <c r="D834" s="89">
        <v>0.12</v>
      </c>
      <c r="E834" s="89">
        <v>0.2</v>
      </c>
      <c r="F834" s="89">
        <v>3</v>
      </c>
      <c r="G834" s="94">
        <f>F834*E834*D834</f>
        <v>0.07200000000000001</v>
      </c>
      <c r="H834" s="68">
        <v>5</v>
      </c>
      <c r="I834" s="95">
        <f>H834*G834</f>
        <v>0.36000000000000004</v>
      </c>
      <c r="J834" s="505"/>
      <c r="K834" s="85"/>
    </row>
    <row r="835" spans="3:11" ht="15.75">
      <c r="C835" s="212"/>
      <c r="D835" s="89">
        <v>0.12</v>
      </c>
      <c r="E835" s="89">
        <v>0.2</v>
      </c>
      <c r="F835" s="89">
        <v>2</v>
      </c>
      <c r="G835" s="94">
        <f>F835*E835*D835</f>
        <v>0.048</v>
      </c>
      <c r="H835" s="68">
        <v>1</v>
      </c>
      <c r="I835" s="95">
        <f>H835*G835</f>
        <v>0.048</v>
      </c>
      <c r="J835" s="505">
        <f>SUM(I834:I835)</f>
        <v>0.40800000000000003</v>
      </c>
      <c r="K835" s="506">
        <f>J835</f>
        <v>0.40800000000000003</v>
      </c>
    </row>
    <row r="836" spans="3:11" ht="15.75">
      <c r="C836" s="212"/>
      <c r="D836" s="89"/>
      <c r="E836" s="89"/>
      <c r="F836" s="89"/>
      <c r="G836" s="94"/>
      <c r="H836" s="68"/>
      <c r="I836" s="95"/>
      <c r="J836" s="505"/>
      <c r="K836" s="85"/>
    </row>
    <row r="837" spans="3:11" ht="15.75">
      <c r="C837" s="212" t="s">
        <v>644</v>
      </c>
      <c r="D837" s="89">
        <v>0.12</v>
      </c>
      <c r="E837" s="89">
        <v>0.2</v>
      </c>
      <c r="F837" s="89">
        <v>3</v>
      </c>
      <c r="G837" s="94">
        <f>F837*E837*D837</f>
        <v>0.07200000000000001</v>
      </c>
      <c r="H837" s="68">
        <v>5</v>
      </c>
      <c r="I837" s="95">
        <f>H837*G837</f>
        <v>0.36000000000000004</v>
      </c>
      <c r="J837" s="505"/>
      <c r="K837" s="85"/>
    </row>
    <row r="838" spans="3:11" ht="15.75">
      <c r="C838" s="212"/>
      <c r="D838" s="89">
        <v>0.12</v>
      </c>
      <c r="E838" s="89">
        <v>0.2</v>
      </c>
      <c r="F838" s="89">
        <v>2</v>
      </c>
      <c r="G838" s="94">
        <f>F838*E838*D838</f>
        <v>0.048</v>
      </c>
      <c r="H838" s="68">
        <v>1</v>
      </c>
      <c r="I838" s="95">
        <f>H838*G838</f>
        <v>0.048</v>
      </c>
      <c r="J838" s="505">
        <f>SUM(I837:I838)</f>
        <v>0.40800000000000003</v>
      </c>
      <c r="K838" s="506">
        <f>J838</f>
        <v>0.40800000000000003</v>
      </c>
    </row>
    <row r="839" spans="3:11" ht="15.75">
      <c r="C839" s="212"/>
      <c r="D839" s="89"/>
      <c r="E839" s="89"/>
      <c r="F839" s="89"/>
      <c r="G839" s="89"/>
      <c r="H839" s="89"/>
      <c r="I839" s="90"/>
      <c r="J839" s="90"/>
      <c r="K839" s="85"/>
    </row>
    <row r="840" spans="3:11" ht="15.75">
      <c r="C840" s="212" t="s">
        <v>645</v>
      </c>
      <c r="D840" s="89">
        <v>0.12</v>
      </c>
      <c r="E840" s="89">
        <v>0.2</v>
      </c>
      <c r="F840" s="89">
        <v>1</v>
      </c>
      <c r="G840" s="94">
        <f aca="true" t="shared" si="69" ref="G840:G845">F840*E840*D840</f>
        <v>0.024</v>
      </c>
      <c r="H840" s="68">
        <v>2</v>
      </c>
      <c r="I840" s="95">
        <f>H840*G840</f>
        <v>0.048</v>
      </c>
      <c r="J840" s="90"/>
      <c r="K840" s="85"/>
    </row>
    <row r="841" spans="3:11" ht="15.75">
      <c r="C841" s="212"/>
      <c r="D841" s="89">
        <v>0.12</v>
      </c>
      <c r="E841" s="89">
        <v>0.2</v>
      </c>
      <c r="F841" s="89">
        <v>1.5</v>
      </c>
      <c r="G841" s="94">
        <f t="shared" si="69"/>
        <v>0.036000000000000004</v>
      </c>
      <c r="H841" s="68">
        <v>2</v>
      </c>
      <c r="I841" s="95">
        <f>H841*G841</f>
        <v>0.07200000000000001</v>
      </c>
      <c r="J841" s="505">
        <f>SUM(I840:I841)</f>
        <v>0.12000000000000001</v>
      </c>
      <c r="K841" s="506">
        <f>J841</f>
        <v>0.12000000000000001</v>
      </c>
    </row>
    <row r="842" spans="3:11" ht="15.75">
      <c r="C842" s="212"/>
      <c r="D842" s="89"/>
      <c r="E842" s="89"/>
      <c r="F842" s="89"/>
      <c r="G842" s="94"/>
      <c r="H842" s="68"/>
      <c r="I842" s="95"/>
      <c r="J842" s="90"/>
      <c r="K842" s="85"/>
    </row>
    <row r="843" spans="3:11" ht="15.75">
      <c r="C843" s="212" t="s">
        <v>646</v>
      </c>
      <c r="D843" s="89">
        <v>0.08</v>
      </c>
      <c r="E843" s="89">
        <v>0.6</v>
      </c>
      <c r="F843" s="89">
        <v>1.5</v>
      </c>
      <c r="G843" s="94">
        <f t="shared" si="69"/>
        <v>0.072</v>
      </c>
      <c r="H843" s="68">
        <v>1</v>
      </c>
      <c r="I843" s="95">
        <f>H843*G843</f>
        <v>0.072</v>
      </c>
      <c r="J843" s="90"/>
      <c r="K843" s="85"/>
    </row>
    <row r="844" spans="3:11" ht="15.75">
      <c r="C844" s="212"/>
      <c r="D844" s="89">
        <v>0.08</v>
      </c>
      <c r="E844" s="89">
        <v>0.6</v>
      </c>
      <c r="F844" s="89">
        <v>3.5</v>
      </c>
      <c r="G844" s="94">
        <f t="shared" si="69"/>
        <v>0.168</v>
      </c>
      <c r="H844" s="68">
        <v>1</v>
      </c>
      <c r="I844" s="95">
        <f>H844*G844</f>
        <v>0.168</v>
      </c>
      <c r="J844" s="90"/>
      <c r="K844" s="85"/>
    </row>
    <row r="845" spans="3:11" ht="15.75">
      <c r="C845" s="212"/>
      <c r="D845" s="89">
        <v>0.08</v>
      </c>
      <c r="E845" s="89">
        <v>0.6</v>
      </c>
      <c r="F845" s="89">
        <v>4.2</v>
      </c>
      <c r="G845" s="94">
        <f t="shared" si="69"/>
        <v>0.2016</v>
      </c>
      <c r="H845" s="68">
        <v>1</v>
      </c>
      <c r="I845" s="95">
        <f>H845*G845</f>
        <v>0.2016</v>
      </c>
      <c r="J845" s="505">
        <f>SUM(I843:I845)</f>
        <v>0.4416</v>
      </c>
      <c r="K845" s="506">
        <f>J845</f>
        <v>0.4416</v>
      </c>
    </row>
    <row r="846" spans="3:11" ht="15.75">
      <c r="C846" s="212"/>
      <c r="D846" s="89"/>
      <c r="E846" s="89"/>
      <c r="F846" s="89"/>
      <c r="G846" s="89"/>
      <c r="H846" s="89"/>
      <c r="I846" s="90"/>
      <c r="J846" s="90"/>
      <c r="K846" s="85"/>
    </row>
    <row r="847" spans="3:11" ht="15.75">
      <c r="C847" s="212"/>
      <c r="D847" s="89"/>
      <c r="E847" s="89"/>
      <c r="F847" s="89"/>
      <c r="G847" s="89"/>
      <c r="H847" s="89"/>
      <c r="I847" s="90"/>
      <c r="J847" s="90"/>
      <c r="K847" s="85"/>
    </row>
    <row r="848" spans="3:11" ht="16.5" thickBot="1">
      <c r="C848" s="507"/>
      <c r="D848" s="508"/>
      <c r="E848" s="508"/>
      <c r="F848" s="509"/>
      <c r="G848" s="510"/>
      <c r="H848" s="74"/>
      <c r="I848" s="511">
        <f>H848*G848</f>
        <v>0</v>
      </c>
      <c r="J848" s="511"/>
      <c r="K848" s="512"/>
    </row>
    <row r="849" ht="16.5" thickTop="1"/>
    <row r="852" spans="3:11" ht="15.75">
      <c r="C852" s="503" t="s">
        <v>386</v>
      </c>
      <c r="D852">
        <v>4.2</v>
      </c>
      <c r="E852">
        <v>4.2</v>
      </c>
      <c r="F852">
        <v>1</v>
      </c>
      <c r="G852">
        <f>F852*E852*D852</f>
        <v>17.64</v>
      </c>
      <c r="H852">
        <v>1</v>
      </c>
      <c r="I852">
        <f>H852*G852</f>
        <v>17.64</v>
      </c>
      <c r="J852">
        <f>I852</f>
        <v>17.64</v>
      </c>
      <c r="K852">
        <f>J852</f>
        <v>17.64</v>
      </c>
    </row>
    <row r="853" spans="3:7" ht="15.75">
      <c r="C853" t="s">
        <v>648</v>
      </c>
      <c r="D853">
        <v>2</v>
      </c>
      <c r="E853">
        <v>1</v>
      </c>
      <c r="F853">
        <v>6</v>
      </c>
      <c r="G853">
        <f>F853*E853*D853</f>
        <v>12</v>
      </c>
    </row>
    <row r="854" spans="4:8" ht="15.75">
      <c r="D854">
        <v>3</v>
      </c>
      <c r="E854">
        <v>1</v>
      </c>
      <c r="F854">
        <v>6</v>
      </c>
      <c r="G854">
        <f>F854*E854*D854</f>
        <v>18</v>
      </c>
      <c r="H854">
        <f>SUM(G853:G854)</f>
        <v>30</v>
      </c>
    </row>
    <row r="857" ht="15.75">
      <c r="C857" t="s">
        <v>649</v>
      </c>
    </row>
    <row r="858" spans="4:9" ht="15.75">
      <c r="D858">
        <v>0.4</v>
      </c>
      <c r="E858">
        <v>4</v>
      </c>
      <c r="F858">
        <v>2</v>
      </c>
      <c r="G858">
        <f>F858*E858*D858</f>
        <v>3.2</v>
      </c>
      <c r="H858">
        <v>2</v>
      </c>
      <c r="I858">
        <f>H858*G858</f>
        <v>6.4</v>
      </c>
    </row>
    <row r="859" spans="4:9" ht="15.75">
      <c r="D859">
        <v>0.4</v>
      </c>
      <c r="E859">
        <v>2</v>
      </c>
      <c r="F859">
        <v>2</v>
      </c>
      <c r="G859">
        <f>F859*E859*D859</f>
        <v>1.6</v>
      </c>
      <c r="H859">
        <v>2</v>
      </c>
      <c r="I859">
        <f>H859*G859</f>
        <v>3.2</v>
      </c>
    </row>
    <row r="860" spans="4:11" ht="15.75">
      <c r="D860">
        <v>0.1</v>
      </c>
      <c r="E860">
        <v>2</v>
      </c>
      <c r="F860">
        <v>2</v>
      </c>
      <c r="G860">
        <f>F860*E860*D860</f>
        <v>0.4</v>
      </c>
      <c r="H860">
        <v>2</v>
      </c>
      <c r="I860">
        <f>H860*G860</f>
        <v>0.8</v>
      </c>
      <c r="J860">
        <f>SUM(I858:I860)</f>
        <v>10.400000000000002</v>
      </c>
      <c r="K860">
        <f>J860</f>
        <v>10.400000000000002</v>
      </c>
    </row>
    <row r="862" ht="16.5" thickBot="1"/>
    <row r="863" spans="3:11" ht="16.5" thickTop="1">
      <c r="C863" s="304"/>
      <c r="D863" s="1100" t="s">
        <v>319</v>
      </c>
      <c r="E863" s="1101"/>
      <c r="F863" s="1101"/>
      <c r="G863" s="1102" t="s">
        <v>272</v>
      </c>
      <c r="H863" s="1103"/>
      <c r="I863" s="1103"/>
      <c r="J863" s="1103"/>
      <c r="K863" s="305"/>
    </row>
    <row r="864" spans="3:11" ht="15.75">
      <c r="C864" s="306" t="s">
        <v>323</v>
      </c>
      <c r="D864" s="307"/>
      <c r="E864" s="210" t="s">
        <v>324</v>
      </c>
      <c r="F864" s="209" t="s">
        <v>188</v>
      </c>
      <c r="G864" s="238" t="s">
        <v>326</v>
      </c>
      <c r="H864" s="238" t="s">
        <v>327</v>
      </c>
      <c r="I864" s="308" t="s">
        <v>328</v>
      </c>
      <c r="J864" s="1104" t="s">
        <v>328</v>
      </c>
      <c r="K864" s="1105"/>
    </row>
    <row r="865" spans="3:11" ht="16.5" thickBot="1">
      <c r="C865" s="310"/>
      <c r="D865" s="311"/>
      <c r="E865" s="311" t="s">
        <v>335</v>
      </c>
      <c r="F865" s="312" t="s">
        <v>335</v>
      </c>
      <c r="G865" s="251">
        <v>1</v>
      </c>
      <c r="H865" s="251" t="s">
        <v>326</v>
      </c>
      <c r="I865" s="313" t="s">
        <v>389</v>
      </c>
      <c r="J865" s="314"/>
      <c r="K865" s="315"/>
    </row>
    <row r="866" spans="3:11" ht="16.5" thickTop="1">
      <c r="C866" s="317" t="s">
        <v>261</v>
      </c>
      <c r="D866" s="318" t="s">
        <v>262</v>
      </c>
      <c r="E866" s="319" t="s">
        <v>263</v>
      </c>
      <c r="F866" s="320" t="s">
        <v>264</v>
      </c>
      <c r="G866" s="319" t="s">
        <v>384</v>
      </c>
      <c r="H866" s="319" t="s">
        <v>266</v>
      </c>
      <c r="I866" s="320" t="s">
        <v>373</v>
      </c>
      <c r="J866" s="320" t="s">
        <v>390</v>
      </c>
      <c r="K866" s="321"/>
    </row>
    <row r="867" spans="3:11" ht="15.75">
      <c r="C867" s="69"/>
      <c r="D867" s="66"/>
      <c r="E867" s="165"/>
      <c r="F867" s="75"/>
      <c r="G867" s="165"/>
      <c r="H867" s="165"/>
      <c r="I867" s="75"/>
      <c r="J867" s="75"/>
      <c r="K867" s="346"/>
    </row>
    <row r="868" spans="3:11" ht="15.75">
      <c r="C868" s="494" t="s">
        <v>651</v>
      </c>
      <c r="D868" s="66"/>
      <c r="E868" s="165"/>
      <c r="F868" s="75"/>
      <c r="G868" s="165"/>
      <c r="H868" s="258"/>
      <c r="I868" s="75"/>
      <c r="J868" s="75"/>
      <c r="K868" s="346"/>
    </row>
    <row r="869" spans="3:11" ht="15.75">
      <c r="C869" s="69" t="s">
        <v>532</v>
      </c>
      <c r="D869" s="66"/>
      <c r="E869" s="165">
        <f>2.1*2</f>
        <v>4.2</v>
      </c>
      <c r="F869" s="75">
        <v>0.9</v>
      </c>
      <c r="G869" s="165">
        <f>F869+E869</f>
        <v>5.1000000000000005</v>
      </c>
      <c r="H869" s="258">
        <v>1</v>
      </c>
      <c r="I869" s="75">
        <f aca="true" t="shared" si="70" ref="I869:I874">H869*G869</f>
        <v>5.1000000000000005</v>
      </c>
      <c r="J869" s="75">
        <f aca="true" t="shared" si="71" ref="J869:J874">I869</f>
        <v>5.1000000000000005</v>
      </c>
      <c r="K869" s="346"/>
    </row>
    <row r="870" spans="3:11" ht="15.75">
      <c r="C870" s="325" t="s">
        <v>598</v>
      </c>
      <c r="D870" s="66"/>
      <c r="E870" s="258">
        <v>2.1</v>
      </c>
      <c r="F870" s="258">
        <v>0.8</v>
      </c>
      <c r="G870" s="258">
        <f>F870*E870</f>
        <v>1.6800000000000002</v>
      </c>
      <c r="H870" s="258">
        <v>1</v>
      </c>
      <c r="I870" s="258">
        <f t="shared" si="70"/>
        <v>1.6800000000000002</v>
      </c>
      <c r="J870" s="258">
        <f t="shared" si="71"/>
        <v>1.6800000000000002</v>
      </c>
      <c r="K870" s="346"/>
    </row>
    <row r="871" spans="3:11" ht="15.75">
      <c r="C871" s="325" t="s">
        <v>530</v>
      </c>
      <c r="D871" s="66"/>
      <c r="E871" s="165">
        <v>1</v>
      </c>
      <c r="F871" s="75">
        <v>1</v>
      </c>
      <c r="G871" s="165">
        <f>F871*E871</f>
        <v>1</v>
      </c>
      <c r="H871" s="258">
        <v>1</v>
      </c>
      <c r="I871" s="75">
        <f t="shared" si="70"/>
        <v>1</v>
      </c>
      <c r="J871" s="75">
        <f t="shared" si="71"/>
        <v>1</v>
      </c>
      <c r="K871" s="346"/>
    </row>
    <row r="872" spans="3:11" ht="15.75">
      <c r="C872" s="325" t="s">
        <v>599</v>
      </c>
      <c r="D872" s="66"/>
      <c r="E872" s="165">
        <v>3</v>
      </c>
      <c r="F872" s="75">
        <v>1</v>
      </c>
      <c r="G872" s="165">
        <f>F872*E872</f>
        <v>3</v>
      </c>
      <c r="H872" s="258">
        <v>1</v>
      </c>
      <c r="I872" s="75">
        <f t="shared" si="70"/>
        <v>3</v>
      </c>
      <c r="J872" s="75">
        <f t="shared" si="71"/>
        <v>3</v>
      </c>
      <c r="K872" s="346"/>
    </row>
    <row r="873" spans="3:11" ht="15.75">
      <c r="C873" s="325" t="s">
        <v>395</v>
      </c>
      <c r="D873" s="66"/>
      <c r="E873" s="165">
        <f>0.12*0.2</f>
        <v>0.024</v>
      </c>
      <c r="F873" s="75">
        <v>1</v>
      </c>
      <c r="G873" s="165">
        <f>F873*E873</f>
        <v>0.024</v>
      </c>
      <c r="H873" s="258">
        <v>1</v>
      </c>
      <c r="I873" s="75">
        <f t="shared" si="70"/>
        <v>0.024</v>
      </c>
      <c r="J873" s="75">
        <f t="shared" si="71"/>
        <v>0.024</v>
      </c>
      <c r="K873" s="346"/>
    </row>
    <row r="874" spans="3:11" ht="15.75">
      <c r="C874" s="325" t="s">
        <v>531</v>
      </c>
      <c r="D874" s="66"/>
      <c r="E874" s="165">
        <v>2.1</v>
      </c>
      <c r="F874" s="75">
        <v>0.9</v>
      </c>
      <c r="G874" s="165">
        <f>F874*E874</f>
        <v>1.8900000000000001</v>
      </c>
      <c r="H874" s="258">
        <v>1</v>
      </c>
      <c r="I874" s="75">
        <f t="shared" si="70"/>
        <v>1.8900000000000001</v>
      </c>
      <c r="J874" s="75">
        <f t="shared" si="71"/>
        <v>1.8900000000000001</v>
      </c>
      <c r="K874" s="346"/>
    </row>
    <row r="875" spans="3:11" ht="15.75">
      <c r="C875" s="325"/>
      <c r="D875" s="66"/>
      <c r="E875" s="165"/>
      <c r="F875" s="75"/>
      <c r="G875" s="165"/>
      <c r="H875" s="258"/>
      <c r="I875" s="75"/>
      <c r="J875" s="75"/>
      <c r="K875" s="346"/>
    </row>
    <row r="876" spans="3:11" ht="15.75">
      <c r="C876" s="426"/>
      <c r="D876" s="471"/>
      <c r="E876" s="230"/>
      <c r="F876" s="257"/>
      <c r="G876" s="230"/>
      <c r="H876" s="257"/>
      <c r="I876" s="257"/>
      <c r="J876" s="257"/>
      <c r="K876" s="352"/>
    </row>
    <row r="877" spans="3:11" ht="15.75">
      <c r="C877" s="494" t="s">
        <v>660</v>
      </c>
      <c r="D877" s="66"/>
      <c r="E877" s="165"/>
      <c r="F877" s="75"/>
      <c r="G877" s="165"/>
      <c r="H877" s="258"/>
      <c r="I877" s="75"/>
      <c r="J877" s="75"/>
      <c r="K877" s="346"/>
    </row>
    <row r="878" spans="3:11" ht="15.75">
      <c r="C878" s="69" t="s">
        <v>392</v>
      </c>
      <c r="D878" t="s">
        <v>396</v>
      </c>
      <c r="E878" s="97">
        <f>1.1*2</f>
        <v>2.2</v>
      </c>
      <c r="F878" s="98">
        <f>1.3*2</f>
        <v>2.6</v>
      </c>
      <c r="G878" s="97">
        <f>E878+F878</f>
        <v>4.800000000000001</v>
      </c>
      <c r="H878" s="258">
        <v>1</v>
      </c>
      <c r="I878" s="98">
        <f>H878*G878</f>
        <v>4.800000000000001</v>
      </c>
      <c r="J878" s="97">
        <f>I878</f>
        <v>4.800000000000001</v>
      </c>
      <c r="K878" s="346"/>
    </row>
    <row r="879" spans="3:11" ht="15.75">
      <c r="C879" s="325" t="s">
        <v>607</v>
      </c>
      <c r="E879" s="143">
        <v>1.1</v>
      </c>
      <c r="F879" s="139">
        <v>1.3</v>
      </c>
      <c r="G879" s="143">
        <f>F879*E879</f>
        <v>1.4300000000000002</v>
      </c>
      <c r="H879" s="258">
        <v>1</v>
      </c>
      <c r="I879" s="139">
        <f>H879*G879</f>
        <v>1.4300000000000002</v>
      </c>
      <c r="J879" s="97">
        <f>I879</f>
        <v>1.4300000000000002</v>
      </c>
      <c r="K879" s="346"/>
    </row>
    <row r="880" spans="3:11" ht="15.75">
      <c r="C880" s="284" t="s">
        <v>393</v>
      </c>
      <c r="D880" s="333"/>
      <c r="E880" s="143">
        <v>1.1</v>
      </c>
      <c r="F880" s="139">
        <v>1.3</v>
      </c>
      <c r="G880" s="143">
        <f>E880*F880</f>
        <v>1.4300000000000002</v>
      </c>
      <c r="H880" s="258">
        <v>1</v>
      </c>
      <c r="I880" s="139">
        <f>H880*G880</f>
        <v>1.4300000000000002</v>
      </c>
      <c r="J880" s="97">
        <f>I880</f>
        <v>1.4300000000000002</v>
      </c>
      <c r="K880" s="346"/>
    </row>
    <row r="881" spans="3:11" ht="15.75">
      <c r="C881" s="284" t="s">
        <v>395</v>
      </c>
      <c r="D881" s="63"/>
      <c r="E881" s="97">
        <f>0.12*0.2</f>
        <v>0.024</v>
      </c>
      <c r="F881" s="98">
        <v>1.5</v>
      </c>
      <c r="G881" s="143">
        <f>E881*F881</f>
        <v>0.036000000000000004</v>
      </c>
      <c r="H881" s="258">
        <v>1</v>
      </c>
      <c r="I881" s="98">
        <f>H881*G881</f>
        <v>0.036000000000000004</v>
      </c>
      <c r="J881" s="97">
        <f>I881</f>
        <v>0.036000000000000004</v>
      </c>
      <c r="K881" s="346"/>
    </row>
    <row r="882" spans="3:11" ht="15.75">
      <c r="C882" s="325" t="s">
        <v>394</v>
      </c>
      <c r="D882">
        <v>0.08</v>
      </c>
      <c r="E882" s="97">
        <v>0.5</v>
      </c>
      <c r="F882" s="98">
        <f>1.32</f>
        <v>1.32</v>
      </c>
      <c r="G882" s="97">
        <f>F882*E882*D882</f>
        <v>0.05280000000000001</v>
      </c>
      <c r="H882" s="258"/>
      <c r="I882" s="98">
        <f>H882*G882</f>
        <v>0</v>
      </c>
      <c r="J882" s="97">
        <f>I882</f>
        <v>0</v>
      </c>
      <c r="K882" s="346"/>
    </row>
    <row r="883" spans="3:11" ht="15.75">
      <c r="C883" s="325"/>
      <c r="D883" s="66"/>
      <c r="E883" s="165"/>
      <c r="F883" s="75"/>
      <c r="G883" s="165"/>
      <c r="H883" s="258"/>
      <c r="I883" s="75"/>
      <c r="J883" s="75"/>
      <c r="K883" s="346"/>
    </row>
    <row r="884" spans="3:11" ht="15.75">
      <c r="C884" s="325"/>
      <c r="D884" s="66"/>
      <c r="E884" s="165"/>
      <c r="F884" s="75"/>
      <c r="G884" s="165"/>
      <c r="H884" s="258"/>
      <c r="I884" s="75"/>
      <c r="J884" s="75"/>
      <c r="K884" s="346"/>
    </row>
    <row r="885" spans="3:11" ht="15.75">
      <c r="C885" s="327"/>
      <c r="D885" s="472"/>
      <c r="E885" s="232"/>
      <c r="F885" s="473"/>
      <c r="G885" s="232"/>
      <c r="H885" s="473"/>
      <c r="I885" s="473"/>
      <c r="J885" s="473"/>
      <c r="K885" s="368"/>
    </row>
    <row r="886" spans="3:11" ht="15.75">
      <c r="C886" s="325"/>
      <c r="D886" s="66"/>
      <c r="E886" s="165"/>
      <c r="F886" s="75"/>
      <c r="G886" s="165"/>
      <c r="H886" s="258"/>
      <c r="I886" s="75"/>
      <c r="J886" s="75"/>
      <c r="K886" s="346"/>
    </row>
    <row r="887" spans="3:11" ht="15.75">
      <c r="C887" s="494" t="s">
        <v>659</v>
      </c>
      <c r="D887" s="66"/>
      <c r="E887" s="165"/>
      <c r="F887" s="75"/>
      <c r="G887" s="165"/>
      <c r="H887" s="258"/>
      <c r="I887" s="75"/>
      <c r="J887" s="75"/>
      <c r="K887" s="346"/>
    </row>
    <row r="888" spans="3:11" ht="15.75">
      <c r="C888" s="69" t="s">
        <v>392</v>
      </c>
      <c r="D888" t="s">
        <v>396</v>
      </c>
      <c r="E888" s="97">
        <f>1.1*3</f>
        <v>3.3000000000000003</v>
      </c>
      <c r="F888" s="98">
        <f>1.3*2</f>
        <v>2.6</v>
      </c>
      <c r="G888" s="97">
        <f>E888+F888</f>
        <v>5.9</v>
      </c>
      <c r="H888" s="258">
        <v>1</v>
      </c>
      <c r="I888" s="98">
        <f aca="true" t="shared" si="72" ref="I888:I893">H888*G888</f>
        <v>5.9</v>
      </c>
      <c r="J888" s="97">
        <f aca="true" t="shared" si="73" ref="J888:J893">I888</f>
        <v>5.9</v>
      </c>
      <c r="K888" s="346"/>
    </row>
    <row r="889" spans="3:11" ht="15.75">
      <c r="C889" s="69" t="s">
        <v>536</v>
      </c>
      <c r="D889" t="s">
        <v>396</v>
      </c>
      <c r="E889" s="143"/>
      <c r="F889" s="139"/>
      <c r="G889" s="143">
        <v>1</v>
      </c>
      <c r="H889" s="258">
        <v>2</v>
      </c>
      <c r="I889" s="139">
        <f t="shared" si="72"/>
        <v>2</v>
      </c>
      <c r="J889" s="97">
        <f t="shared" si="73"/>
        <v>2</v>
      </c>
      <c r="K889" s="346"/>
    </row>
    <row r="890" spans="3:11" ht="15.75">
      <c r="C890" s="325" t="s">
        <v>607</v>
      </c>
      <c r="E890" s="143">
        <f>1.1-0.16</f>
        <v>0.9400000000000001</v>
      </c>
      <c r="F890" s="139">
        <f>0.8-0.16</f>
        <v>0.64</v>
      </c>
      <c r="G890" s="143">
        <f>F890*E890</f>
        <v>0.6016</v>
      </c>
      <c r="H890" s="258">
        <v>2</v>
      </c>
      <c r="I890" s="139">
        <f t="shared" si="72"/>
        <v>1.2032</v>
      </c>
      <c r="J890" s="97">
        <f t="shared" si="73"/>
        <v>1.2032</v>
      </c>
      <c r="K890" s="346"/>
    </row>
    <row r="891" spans="3:11" ht="15.75">
      <c r="C891" s="284" t="s">
        <v>393</v>
      </c>
      <c r="D891" s="333"/>
      <c r="E891" s="143">
        <f>1.02+0.48</f>
        <v>1.5</v>
      </c>
      <c r="F891" s="139">
        <v>1.32</v>
      </c>
      <c r="G891" s="143">
        <f>E891+F891</f>
        <v>2.8200000000000003</v>
      </c>
      <c r="H891" s="258">
        <v>1</v>
      </c>
      <c r="I891" s="139">
        <f t="shared" si="72"/>
        <v>2.8200000000000003</v>
      </c>
      <c r="J891" s="97">
        <f t="shared" si="73"/>
        <v>2.8200000000000003</v>
      </c>
      <c r="K891" s="346"/>
    </row>
    <row r="892" spans="3:11" ht="15.75">
      <c r="C892" s="284" t="s">
        <v>395</v>
      </c>
      <c r="D892" s="63"/>
      <c r="E892" s="97">
        <f>0.12*0.2</f>
        <v>0.024</v>
      </c>
      <c r="F892" s="98">
        <v>1.5</v>
      </c>
      <c r="G892" s="143">
        <f>E892*F892</f>
        <v>0.036000000000000004</v>
      </c>
      <c r="H892" s="258">
        <v>2</v>
      </c>
      <c r="I892" s="98">
        <f t="shared" si="72"/>
        <v>0.07200000000000001</v>
      </c>
      <c r="J892" s="97">
        <f t="shared" si="73"/>
        <v>0.07200000000000001</v>
      </c>
      <c r="K892" s="346"/>
    </row>
    <row r="893" spans="3:11" ht="15.75">
      <c r="C893" s="325" t="s">
        <v>394</v>
      </c>
      <c r="D893">
        <v>0.08</v>
      </c>
      <c r="E893" s="97">
        <v>0.5</v>
      </c>
      <c r="F893" s="98">
        <f>1.32</f>
        <v>1.32</v>
      </c>
      <c r="G893" s="97">
        <f>F893*E893*D893</f>
        <v>0.05280000000000001</v>
      </c>
      <c r="H893" s="258"/>
      <c r="I893" s="98">
        <f t="shared" si="72"/>
        <v>0</v>
      </c>
      <c r="J893" s="97">
        <f t="shared" si="73"/>
        <v>0</v>
      </c>
      <c r="K893" s="346"/>
    </row>
    <row r="894" spans="3:11" ht="15.75">
      <c r="C894" s="325"/>
      <c r="D894" s="66"/>
      <c r="E894" s="165"/>
      <c r="F894" s="75"/>
      <c r="G894" s="165"/>
      <c r="H894" s="258"/>
      <c r="I894" s="75"/>
      <c r="J894" s="75"/>
      <c r="K894" s="346"/>
    </row>
    <row r="895" spans="3:11" ht="15.75">
      <c r="C895" s="325"/>
      <c r="D895" s="66"/>
      <c r="E895" s="165"/>
      <c r="F895" s="75"/>
      <c r="G895" s="165"/>
      <c r="H895" s="258"/>
      <c r="I895" s="75"/>
      <c r="J895" s="75"/>
      <c r="K895" s="346"/>
    </row>
    <row r="896" spans="3:11" ht="16.5" thickBot="1">
      <c r="C896" s="515"/>
      <c r="D896" s="516"/>
      <c r="E896" s="170"/>
      <c r="F896" s="171"/>
      <c r="G896" s="170"/>
      <c r="H896" s="286"/>
      <c r="I896" s="171">
        <f>H896*G896</f>
        <v>0</v>
      </c>
      <c r="J896" s="171"/>
      <c r="K896" s="363"/>
    </row>
    <row r="897" ht="16.5" thickTop="1"/>
    <row r="898" spans="2:16" ht="16.5" thickBot="1">
      <c r="B898" s="513"/>
      <c r="C898" s="513"/>
      <c r="D898" s="513"/>
      <c r="E898" s="513"/>
      <c r="F898" s="513"/>
      <c r="G898" s="513"/>
      <c r="H898" s="513"/>
      <c r="I898" s="513"/>
      <c r="J898" s="513"/>
      <c r="K898" s="513"/>
      <c r="L898" s="513"/>
      <c r="M898" s="513"/>
      <c r="N898" s="513"/>
      <c r="O898" s="513"/>
      <c r="P898" s="513"/>
    </row>
    <row r="899" spans="2:16" ht="16.5" thickTop="1">
      <c r="B899" s="514"/>
      <c r="C899" s="514"/>
      <c r="D899" s="514"/>
      <c r="E899" s="514"/>
      <c r="F899" s="514"/>
      <c r="G899" s="514"/>
      <c r="H899" s="514"/>
      <c r="I899" s="514"/>
      <c r="J899" s="514"/>
      <c r="K899" s="514"/>
      <c r="L899" s="514"/>
      <c r="M899" s="514"/>
      <c r="N899" s="514"/>
      <c r="O899" s="514"/>
      <c r="P899" s="514"/>
    </row>
    <row r="901" ht="15.75">
      <c r="C901" s="503" t="s">
        <v>650</v>
      </c>
    </row>
    <row r="902" ht="16.5" thickBot="1"/>
    <row r="903" spans="3:11" ht="16.5" thickTop="1">
      <c r="C903" s="175"/>
      <c r="D903" s="1061" t="s">
        <v>380</v>
      </c>
      <c r="E903" s="1058"/>
      <c r="F903" s="83"/>
      <c r="G903" s="255"/>
      <c r="H903" s="82"/>
      <c r="I903" s="255"/>
      <c r="J903" s="255"/>
      <c r="K903" s="177"/>
    </row>
    <row r="904" spans="3:11" ht="15.75">
      <c r="C904" s="203" t="s">
        <v>366</v>
      </c>
      <c r="D904" s="1062" t="s">
        <v>381</v>
      </c>
      <c r="E904" s="1060"/>
      <c r="F904" s="204" t="s">
        <v>368</v>
      </c>
      <c r="G904" s="204" t="s">
        <v>341</v>
      </c>
      <c r="H904" s="205" t="s">
        <v>272</v>
      </c>
      <c r="I904" s="205"/>
      <c r="J904" s="205"/>
      <c r="K904" s="256" t="s">
        <v>225</v>
      </c>
    </row>
    <row r="905" spans="3:11" ht="15.75">
      <c r="C905" s="203" t="s">
        <v>402</v>
      </c>
      <c r="D905" s="68" t="s">
        <v>383</v>
      </c>
      <c r="E905" s="258" t="s">
        <v>403</v>
      </c>
      <c r="F905" s="204"/>
      <c r="G905" s="204"/>
      <c r="H905" s="205"/>
      <c r="I905" s="205"/>
      <c r="J905" s="205"/>
      <c r="K905" s="256" t="s">
        <v>328</v>
      </c>
    </row>
    <row r="906" spans="3:11" ht="16.5" thickBot="1">
      <c r="C906" s="127"/>
      <c r="D906" s="211" t="s">
        <v>335</v>
      </c>
      <c r="E906" s="211" t="s">
        <v>335</v>
      </c>
      <c r="F906" s="204" t="s">
        <v>371</v>
      </c>
      <c r="G906" s="204" t="s">
        <v>370</v>
      </c>
      <c r="H906" s="205" t="s">
        <v>342</v>
      </c>
      <c r="I906" s="211"/>
      <c r="J906" s="205"/>
      <c r="K906" s="256" t="s">
        <v>342</v>
      </c>
    </row>
    <row r="907" spans="3:11" ht="16.5" thickBot="1">
      <c r="C907" s="178" t="s">
        <v>261</v>
      </c>
      <c r="D907" s="179" t="s">
        <v>262</v>
      </c>
      <c r="E907" s="180" t="s">
        <v>263</v>
      </c>
      <c r="F907" s="179" t="s">
        <v>406</v>
      </c>
      <c r="G907" s="180" t="s">
        <v>372</v>
      </c>
      <c r="H907" s="179" t="s">
        <v>407</v>
      </c>
      <c r="I907" s="179" t="s">
        <v>408</v>
      </c>
      <c r="J907" s="179" t="s">
        <v>409</v>
      </c>
      <c r="K907" s="225" t="s">
        <v>344</v>
      </c>
    </row>
    <row r="908" spans="3:11" ht="15.75">
      <c r="C908" s="138"/>
      <c r="D908" s="165"/>
      <c r="E908" s="75"/>
      <c r="F908" s="165"/>
      <c r="G908" s="75"/>
      <c r="H908" s="68"/>
      <c r="I908" s="165"/>
      <c r="J908" s="165"/>
      <c r="K908" s="168"/>
    </row>
    <row r="909" spans="3:11" ht="15.75">
      <c r="C909" s="226" t="s">
        <v>424</v>
      </c>
      <c r="D909" s="165"/>
      <c r="E909" s="75"/>
      <c r="F909" s="165"/>
      <c r="G909" s="75">
        <f>B951</f>
        <v>31.900000000000002</v>
      </c>
      <c r="H909" s="68"/>
      <c r="I909" s="165"/>
      <c r="J909" s="165"/>
      <c r="K909" s="168"/>
    </row>
    <row r="910" spans="3:11" ht="15.75">
      <c r="C910" s="284"/>
      <c r="D910" s="231">
        <f>(0.3+1)/2</f>
        <v>0.65</v>
      </c>
      <c r="E910" s="347">
        <v>1.2</v>
      </c>
      <c r="F910" s="165">
        <f>D910*E910</f>
        <v>0.78</v>
      </c>
      <c r="G910" s="348">
        <f>G909</f>
        <v>31.900000000000002</v>
      </c>
      <c r="H910" s="165">
        <f>G910*F910</f>
        <v>24.882</v>
      </c>
      <c r="I910" s="68"/>
      <c r="J910" s="165"/>
      <c r="K910" s="346"/>
    </row>
    <row r="911" spans="3:11" ht="15.75">
      <c r="C911" s="284"/>
      <c r="D911" s="231"/>
      <c r="E911" s="357"/>
      <c r="F911" s="165"/>
      <c r="G911" s="358"/>
      <c r="H911" s="165"/>
      <c r="I911" s="68"/>
      <c r="J911" s="165"/>
      <c r="K911" s="346"/>
    </row>
    <row r="912" spans="3:11" ht="15.75">
      <c r="C912" s="226" t="s">
        <v>425</v>
      </c>
      <c r="D912" s="231"/>
      <c r="E912" s="357"/>
      <c r="F912" s="165"/>
      <c r="G912" s="358"/>
      <c r="H912" s="165"/>
      <c r="I912" s="68"/>
      <c r="J912" s="165"/>
      <c r="K912" s="346"/>
    </row>
    <row r="913" spans="3:11" ht="15.75">
      <c r="C913" s="284"/>
      <c r="D913" s="231">
        <v>0.2</v>
      </c>
      <c r="E913" s="347">
        <v>1</v>
      </c>
      <c r="F913" s="165">
        <f>D913*E913</f>
        <v>0.2</v>
      </c>
      <c r="G913" s="348">
        <f>G910</f>
        <v>31.900000000000002</v>
      </c>
      <c r="H913" s="165">
        <f>G913*F913</f>
        <v>6.380000000000001</v>
      </c>
      <c r="I913" s="68"/>
      <c r="J913" s="165"/>
      <c r="K913" s="346"/>
    </row>
    <row r="914" spans="3:11" ht="15.75">
      <c r="C914" s="284"/>
      <c r="D914" s="231"/>
      <c r="E914" s="357"/>
      <c r="F914" s="165"/>
      <c r="G914" s="348"/>
      <c r="H914" s="165"/>
      <c r="I914" s="68"/>
      <c r="J914" s="165"/>
      <c r="K914" s="346"/>
    </row>
    <row r="915" spans="3:11" ht="15.75">
      <c r="C915" s="226" t="s">
        <v>426</v>
      </c>
      <c r="D915" s="231"/>
      <c r="E915" s="357"/>
      <c r="F915" s="165"/>
      <c r="G915" s="227"/>
      <c r="H915" s="165"/>
      <c r="I915" s="68"/>
      <c r="J915" s="165"/>
      <c r="K915" s="346"/>
    </row>
    <row r="916" spans="3:11" ht="15.75">
      <c r="C916" s="284"/>
      <c r="D916" s="231">
        <v>1.2</v>
      </c>
      <c r="E916" s="347">
        <v>1</v>
      </c>
      <c r="F916" s="165">
        <f>D916*E916</f>
        <v>1.2</v>
      </c>
      <c r="G916" s="348">
        <f>G910</f>
        <v>31.900000000000002</v>
      </c>
      <c r="H916" s="165">
        <f>G916*F916</f>
        <v>38.28</v>
      </c>
      <c r="I916" s="68"/>
      <c r="J916" s="165"/>
      <c r="K916" s="346"/>
    </row>
    <row r="917" spans="3:11" ht="15.75">
      <c r="C917" s="284"/>
      <c r="D917" s="231"/>
      <c r="E917" s="357"/>
      <c r="F917" s="165"/>
      <c r="G917" s="348"/>
      <c r="H917" s="165"/>
      <c r="I917" s="68"/>
      <c r="J917" s="165"/>
      <c r="K917" s="346"/>
    </row>
    <row r="918" spans="3:11" ht="15.75">
      <c r="C918" s="226" t="s">
        <v>427</v>
      </c>
      <c r="D918" s="231"/>
      <c r="E918" s="357"/>
      <c r="F918" s="165"/>
      <c r="G918" s="169"/>
      <c r="H918" s="165"/>
      <c r="I918" s="68"/>
      <c r="J918" s="165"/>
      <c r="K918" s="346"/>
    </row>
    <row r="919" spans="3:11" ht="15.75">
      <c r="C919" s="284"/>
      <c r="D919" s="231">
        <v>0.1</v>
      </c>
      <c r="E919" s="347">
        <v>1</v>
      </c>
      <c r="F919" s="165">
        <f>D919*E919</f>
        <v>0.1</v>
      </c>
      <c r="G919" s="348">
        <f>G910</f>
        <v>31.900000000000002</v>
      </c>
      <c r="H919" s="165">
        <f>G919*F919</f>
        <v>3.1900000000000004</v>
      </c>
      <c r="I919" s="68"/>
      <c r="J919" s="165"/>
      <c r="K919" s="346"/>
    </row>
    <row r="920" spans="3:11" ht="15.75">
      <c r="C920" s="284"/>
      <c r="D920" s="231"/>
      <c r="E920" s="357"/>
      <c r="F920" s="165"/>
      <c r="G920" s="52"/>
      <c r="H920" s="165"/>
      <c r="I920" s="68"/>
      <c r="J920" s="165"/>
      <c r="K920" s="346"/>
    </row>
    <row r="921" spans="3:11" ht="15.75">
      <c r="C921" s="226" t="s">
        <v>428</v>
      </c>
      <c r="D921" s="231"/>
      <c r="E921" s="357"/>
      <c r="F921" s="165">
        <v>0.6</v>
      </c>
      <c r="G921" s="52"/>
      <c r="H921" s="165">
        <f>F921*H916</f>
        <v>22.968</v>
      </c>
      <c r="I921" s="68"/>
      <c r="J921" s="165"/>
      <c r="K921" s="346"/>
    </row>
    <row r="922" spans="3:11" ht="15.75">
      <c r="C922" s="263"/>
      <c r="D922" s="231"/>
      <c r="E922" s="357"/>
      <c r="F922" s="165"/>
      <c r="G922" s="52"/>
      <c r="H922" s="165"/>
      <c r="I922" s="68"/>
      <c r="J922" s="165"/>
      <c r="K922" s="346"/>
    </row>
    <row r="923" spans="3:11" ht="15.75">
      <c r="C923" s="263"/>
      <c r="D923" s="231"/>
      <c r="E923" s="357"/>
      <c r="F923" s="165"/>
      <c r="G923" s="52"/>
      <c r="H923" s="165"/>
      <c r="I923" s="68"/>
      <c r="J923" s="165"/>
      <c r="K923" s="346"/>
    </row>
    <row r="924" spans="3:11" ht="16.5" thickBot="1">
      <c r="C924" s="285"/>
      <c r="D924" s="360"/>
      <c r="E924" s="361"/>
      <c r="F924" s="170"/>
      <c r="G924" s="362"/>
      <c r="H924" s="170"/>
      <c r="I924" s="74"/>
      <c r="J924" s="170"/>
      <c r="K924" s="363"/>
    </row>
    <row r="925" ht="16.5" thickTop="1"/>
    <row r="926" ht="16.5" thickBot="1"/>
    <row r="927" spans="3:11" ht="16.5" thickTop="1">
      <c r="C927" s="192"/>
      <c r="D927" s="1063" t="s">
        <v>380</v>
      </c>
      <c r="E927" s="1064"/>
      <c r="F927" s="336"/>
      <c r="G927" s="337" t="s">
        <v>368</v>
      </c>
      <c r="H927" s="196"/>
      <c r="I927" s="337"/>
      <c r="J927" s="337"/>
      <c r="K927" s="197"/>
    </row>
    <row r="928" spans="3:11" ht="15.75">
      <c r="C928" s="199" t="s">
        <v>366</v>
      </c>
      <c r="D928" s="1065" t="s">
        <v>381</v>
      </c>
      <c r="E928" s="1066"/>
      <c r="F928" s="200" t="s">
        <v>368</v>
      </c>
      <c r="G928" s="200" t="s">
        <v>400</v>
      </c>
      <c r="H928" s="201" t="s">
        <v>401</v>
      </c>
      <c r="I928" s="201" t="s">
        <v>225</v>
      </c>
      <c r="J928" s="201" t="s">
        <v>225</v>
      </c>
      <c r="K928" s="338" t="s">
        <v>225</v>
      </c>
    </row>
    <row r="929" spans="3:11" ht="15.75">
      <c r="C929" s="199" t="s">
        <v>402</v>
      </c>
      <c r="D929" s="228" t="s">
        <v>382</v>
      </c>
      <c r="E929" s="228" t="s">
        <v>403</v>
      </c>
      <c r="F929" s="200"/>
      <c r="G929" s="200" t="s">
        <v>404</v>
      </c>
      <c r="H929" s="201" t="s">
        <v>405</v>
      </c>
      <c r="I929" s="201"/>
      <c r="J929" s="201" t="s">
        <v>368</v>
      </c>
      <c r="K929" s="338" t="s">
        <v>328</v>
      </c>
    </row>
    <row r="930" spans="3:11" ht="16.5" thickBot="1">
      <c r="C930" s="212"/>
      <c r="D930" s="210" t="s">
        <v>335</v>
      </c>
      <c r="E930" s="210" t="s">
        <v>335</v>
      </c>
      <c r="F930" s="200" t="s">
        <v>371</v>
      </c>
      <c r="G930" s="200" t="s">
        <v>371</v>
      </c>
      <c r="H930" s="201" t="s">
        <v>371</v>
      </c>
      <c r="I930" s="210" t="s">
        <v>360</v>
      </c>
      <c r="J930" s="201" t="s">
        <v>371</v>
      </c>
      <c r="K930" s="338" t="s">
        <v>371</v>
      </c>
    </row>
    <row r="931" spans="3:11" ht="16.5" thickBot="1">
      <c r="C931" s="221" t="s">
        <v>261</v>
      </c>
      <c r="D931" s="223" t="s">
        <v>262</v>
      </c>
      <c r="E931" s="222" t="s">
        <v>263</v>
      </c>
      <c r="F931" s="223" t="s">
        <v>406</v>
      </c>
      <c r="G931" s="222" t="s">
        <v>372</v>
      </c>
      <c r="H931" s="223" t="s">
        <v>407</v>
      </c>
      <c r="I931" s="223" t="s">
        <v>408</v>
      </c>
      <c r="J931" s="223" t="s">
        <v>409</v>
      </c>
      <c r="K931" s="224" t="s">
        <v>344</v>
      </c>
    </row>
    <row r="932" spans="3:11" ht="15.75">
      <c r="C932" s="306"/>
      <c r="D932" s="228"/>
      <c r="E932" s="227"/>
      <c r="F932" s="228"/>
      <c r="G932" s="227"/>
      <c r="H932" s="228"/>
      <c r="I932" s="228"/>
      <c r="J932" s="228"/>
      <c r="K932" s="339"/>
    </row>
    <row r="933" spans="3:11" ht="15.75">
      <c r="C933" s="226" t="s">
        <v>410</v>
      </c>
      <c r="D933" s="228"/>
      <c r="E933" s="227"/>
      <c r="F933" s="228"/>
      <c r="G933" s="227"/>
      <c r="H933" s="228"/>
      <c r="I933" s="228"/>
      <c r="J933" s="228"/>
      <c r="K933" s="340"/>
    </row>
    <row r="934" spans="3:11" ht="15.75">
      <c r="C934" s="226" t="s">
        <v>288</v>
      </c>
      <c r="D934" s="228"/>
      <c r="E934" s="227"/>
      <c r="F934" s="228"/>
      <c r="G934" s="227"/>
      <c r="H934" s="228"/>
      <c r="I934" s="228"/>
      <c r="J934" s="228"/>
      <c r="K934" s="340"/>
    </row>
    <row r="935" spans="3:11" ht="15.75">
      <c r="C935" s="249" t="s">
        <v>415</v>
      </c>
      <c r="D935" s="228"/>
      <c r="E935" s="227">
        <v>0.12</v>
      </c>
      <c r="F935" s="228"/>
      <c r="G935" s="227"/>
      <c r="H935" s="228"/>
      <c r="I935" s="228"/>
      <c r="J935" s="228"/>
      <c r="K935" s="340"/>
    </row>
    <row r="936" spans="3:11" ht="15.75">
      <c r="C936" s="342" t="s">
        <v>416</v>
      </c>
      <c r="D936" s="343"/>
      <c r="E936" s="344">
        <v>0.35</v>
      </c>
      <c r="F936" s="343" t="s">
        <v>41</v>
      </c>
      <c r="G936" s="227" t="s">
        <v>41</v>
      </c>
      <c r="H936" s="231" t="s">
        <v>41</v>
      </c>
      <c r="I936" s="228" t="s">
        <v>41</v>
      </c>
      <c r="J936" s="231" t="s">
        <v>41</v>
      </c>
      <c r="K936" s="345"/>
    </row>
    <row r="937" spans="2:11" ht="15.75">
      <c r="B937" s="291">
        <f>D937*I937</f>
        <v>1.75</v>
      </c>
      <c r="C937" s="249">
        <v>1</v>
      </c>
      <c r="D937" s="489">
        <v>1.75</v>
      </c>
      <c r="E937" s="347">
        <f>2.75+0.3</f>
        <v>3.05</v>
      </c>
      <c r="F937" s="231">
        <f>E937*D937</f>
        <v>5.3374999999999995</v>
      </c>
      <c r="G937" s="228">
        <f aca="true" t="shared" si="74" ref="G937:G946">S797</f>
        <v>0</v>
      </c>
      <c r="H937" s="231">
        <f>F937-G937</f>
        <v>5.3374999999999995</v>
      </c>
      <c r="I937" s="228">
        <v>1</v>
      </c>
      <c r="J937" s="231">
        <f>I937*H937</f>
        <v>5.3374999999999995</v>
      </c>
      <c r="K937" s="349"/>
    </row>
    <row r="938" spans="2:11" ht="15.75">
      <c r="B938" s="291">
        <f aca="true" t="shared" si="75" ref="B938:B950">D938*I938</f>
        <v>1.2</v>
      </c>
      <c r="C938" s="249"/>
      <c r="D938" s="489">
        <v>1.2</v>
      </c>
      <c r="E938" s="347">
        <f>2.75+0.3</f>
        <v>3.05</v>
      </c>
      <c r="F938" s="231">
        <f>E938*D938</f>
        <v>3.6599999999999997</v>
      </c>
      <c r="G938" s="228">
        <f t="shared" si="74"/>
        <v>0</v>
      </c>
      <c r="H938" s="231">
        <f>F938-G938</f>
        <v>3.6599999999999997</v>
      </c>
      <c r="I938" s="228">
        <v>1</v>
      </c>
      <c r="J938" s="231">
        <f>I938*H938</f>
        <v>3.6599999999999997</v>
      </c>
      <c r="K938" s="349"/>
    </row>
    <row r="939" spans="2:11" ht="15.75">
      <c r="B939" s="291">
        <f t="shared" si="75"/>
        <v>4</v>
      </c>
      <c r="C939" s="249">
        <v>2</v>
      </c>
      <c r="D939" s="231">
        <f>0.5+1.75+1.2+0.55</f>
        <v>4</v>
      </c>
      <c r="E939" s="347">
        <v>3.5</v>
      </c>
      <c r="F939" s="231">
        <f>E939*D939</f>
        <v>14</v>
      </c>
      <c r="G939" s="228">
        <f>S799</f>
        <v>0</v>
      </c>
      <c r="H939" s="231">
        <f>F939-G939</f>
        <v>14</v>
      </c>
      <c r="I939" s="228">
        <v>1</v>
      </c>
      <c r="J939" s="231">
        <f>I939*H939</f>
        <v>14</v>
      </c>
      <c r="K939" s="349"/>
    </row>
    <row r="940" spans="2:11" ht="15.75">
      <c r="B940" s="291">
        <f t="shared" si="75"/>
        <v>0.5</v>
      </c>
      <c r="C940" s="69">
        <v>3</v>
      </c>
      <c r="D940" s="231">
        <v>0.5</v>
      </c>
      <c r="E940" s="347">
        <v>3.5</v>
      </c>
      <c r="F940" s="231">
        <f>E940*D940</f>
        <v>1.75</v>
      </c>
      <c r="G940" s="228">
        <f t="shared" si="74"/>
        <v>0</v>
      </c>
      <c r="H940" s="165">
        <f>F940-G940</f>
        <v>1.75</v>
      </c>
      <c r="I940" s="228">
        <v>1</v>
      </c>
      <c r="J940" s="165">
        <f>I940*H940</f>
        <v>1.75</v>
      </c>
      <c r="K940" s="349"/>
    </row>
    <row r="941" spans="2:11" ht="15.75">
      <c r="B941" s="291">
        <f t="shared" si="75"/>
        <v>0.5</v>
      </c>
      <c r="C941" s="69">
        <v>4</v>
      </c>
      <c r="D941" s="231">
        <v>0.5</v>
      </c>
      <c r="E941" s="347">
        <v>3.5</v>
      </c>
      <c r="F941" s="231">
        <f>E941*D941</f>
        <v>1.75</v>
      </c>
      <c r="G941" s="228">
        <f t="shared" si="74"/>
        <v>0</v>
      </c>
      <c r="H941" s="165">
        <f>F941-G941</f>
        <v>1.75</v>
      </c>
      <c r="I941" s="228">
        <v>1</v>
      </c>
      <c r="J941" s="165">
        <f>I941*H941</f>
        <v>1.75</v>
      </c>
      <c r="K941" s="345"/>
    </row>
    <row r="942" spans="2:11" ht="15.75">
      <c r="B942" s="291">
        <f t="shared" si="75"/>
        <v>4</v>
      </c>
      <c r="C942" s="69">
        <v>5</v>
      </c>
      <c r="D942" s="231">
        <f>0.5+1.75+1.2+0.55</f>
        <v>4</v>
      </c>
      <c r="E942" s="347">
        <v>3.5</v>
      </c>
      <c r="F942" s="231">
        <f aca="true" t="shared" si="76" ref="F942:F950">E942*D942</f>
        <v>14</v>
      </c>
      <c r="G942" s="228">
        <f t="shared" si="74"/>
        <v>0</v>
      </c>
      <c r="H942" s="165">
        <f aca="true" t="shared" si="77" ref="H942:H950">F942-G942</f>
        <v>14</v>
      </c>
      <c r="I942" s="228">
        <v>1</v>
      </c>
      <c r="J942" s="165">
        <f aca="true" t="shared" si="78" ref="J942:J950">I942*H942</f>
        <v>14</v>
      </c>
      <c r="K942" s="345"/>
    </row>
    <row r="943" spans="2:11" ht="15.75">
      <c r="B943" s="291">
        <f t="shared" si="75"/>
        <v>1.75</v>
      </c>
      <c r="C943" s="69">
        <v>6</v>
      </c>
      <c r="D943" s="489">
        <v>1.75</v>
      </c>
      <c r="E943" s="347">
        <f>2.75+0.3</f>
        <v>3.05</v>
      </c>
      <c r="F943" s="231">
        <f t="shared" si="76"/>
        <v>5.3374999999999995</v>
      </c>
      <c r="G943" s="228">
        <f t="shared" si="74"/>
        <v>0</v>
      </c>
      <c r="H943" s="165">
        <f t="shared" si="77"/>
        <v>5.3374999999999995</v>
      </c>
      <c r="I943" s="228">
        <v>1</v>
      </c>
      <c r="J943" s="165">
        <f t="shared" si="78"/>
        <v>5.3374999999999995</v>
      </c>
      <c r="K943" s="345"/>
    </row>
    <row r="944" spans="2:11" ht="15.75">
      <c r="B944" s="291">
        <f t="shared" si="75"/>
        <v>1.2</v>
      </c>
      <c r="C944" s="69"/>
      <c r="D944" s="489">
        <v>1.2</v>
      </c>
      <c r="E944" s="347">
        <f>2.75+0.3</f>
        <v>3.05</v>
      </c>
      <c r="F944" s="231">
        <f t="shared" si="76"/>
        <v>3.6599999999999997</v>
      </c>
      <c r="G944" s="228">
        <f t="shared" si="74"/>
        <v>0</v>
      </c>
      <c r="H944" s="165">
        <f t="shared" si="77"/>
        <v>3.6599999999999997</v>
      </c>
      <c r="I944" s="228">
        <v>1</v>
      </c>
      <c r="J944" s="165">
        <f t="shared" si="78"/>
        <v>3.6599999999999997</v>
      </c>
      <c r="K944" s="345"/>
    </row>
    <row r="945" spans="2:11" ht="15.75">
      <c r="B945" s="291">
        <f t="shared" si="75"/>
        <v>4</v>
      </c>
      <c r="C945" s="69" t="s">
        <v>219</v>
      </c>
      <c r="D945" s="231">
        <v>4</v>
      </c>
      <c r="E945" s="347">
        <v>3.5</v>
      </c>
      <c r="F945" s="231">
        <f t="shared" si="76"/>
        <v>14</v>
      </c>
      <c r="G945" s="370">
        <f>J1070</f>
        <v>4.2</v>
      </c>
      <c r="H945" s="165">
        <f t="shared" si="77"/>
        <v>9.8</v>
      </c>
      <c r="I945" s="228">
        <v>1</v>
      </c>
      <c r="J945" s="165">
        <f t="shared" si="78"/>
        <v>9.8</v>
      </c>
      <c r="K945" s="345"/>
    </row>
    <row r="946" spans="2:11" ht="15.75">
      <c r="B946" s="291">
        <f t="shared" si="75"/>
        <v>1.8</v>
      </c>
      <c r="C946" s="69" t="s">
        <v>188</v>
      </c>
      <c r="D946" s="231">
        <v>0.9</v>
      </c>
      <c r="E946" s="347">
        <f>2.75+0.3</f>
        <v>3.05</v>
      </c>
      <c r="F946" s="231">
        <f t="shared" si="76"/>
        <v>2.745</v>
      </c>
      <c r="G946" s="228">
        <f t="shared" si="74"/>
        <v>0</v>
      </c>
      <c r="H946" s="165">
        <f t="shared" si="77"/>
        <v>2.745</v>
      </c>
      <c r="I946" s="228">
        <v>2</v>
      </c>
      <c r="J946" s="165">
        <f t="shared" si="78"/>
        <v>5.49</v>
      </c>
      <c r="K946" s="345"/>
    </row>
    <row r="947" spans="2:11" ht="15.75">
      <c r="B947" s="291">
        <f t="shared" si="75"/>
        <v>3.6</v>
      </c>
      <c r="C947" s="69" t="s">
        <v>189</v>
      </c>
      <c r="D947" s="489">
        <v>1.8</v>
      </c>
      <c r="E947" s="347">
        <f>2.75+0.3</f>
        <v>3.05</v>
      </c>
      <c r="F947" s="231">
        <f t="shared" si="76"/>
        <v>5.49</v>
      </c>
      <c r="G947" s="370">
        <f>J1081</f>
        <v>1.8900000000000001</v>
      </c>
      <c r="H947" s="165">
        <f t="shared" si="77"/>
        <v>3.6</v>
      </c>
      <c r="I947" s="228">
        <v>2</v>
      </c>
      <c r="J947" s="165">
        <f t="shared" si="78"/>
        <v>7.2</v>
      </c>
      <c r="K947" s="345"/>
    </row>
    <row r="948" spans="2:11" ht="15.75">
      <c r="B948" s="291">
        <f t="shared" si="75"/>
        <v>3.6</v>
      </c>
      <c r="C948" s="69" t="s">
        <v>8</v>
      </c>
      <c r="D948" s="489">
        <v>1.8</v>
      </c>
      <c r="E948" s="347">
        <f>2.75+0.3</f>
        <v>3.05</v>
      </c>
      <c r="F948" s="231">
        <f t="shared" si="76"/>
        <v>5.49</v>
      </c>
      <c r="G948" s="228">
        <f>S802</f>
        <v>0</v>
      </c>
      <c r="H948" s="165">
        <f t="shared" si="77"/>
        <v>5.49</v>
      </c>
      <c r="I948" s="228">
        <v>2</v>
      </c>
      <c r="J948" s="165">
        <f t="shared" si="78"/>
        <v>10.98</v>
      </c>
      <c r="K948" s="345"/>
    </row>
    <row r="949" spans="2:11" ht="15.75">
      <c r="B949" s="291">
        <f t="shared" si="75"/>
        <v>2</v>
      </c>
      <c r="C949" s="69" t="s">
        <v>309</v>
      </c>
      <c r="D949" s="231">
        <v>1</v>
      </c>
      <c r="E949" s="347">
        <v>3.5</v>
      </c>
      <c r="F949" s="231">
        <f t="shared" si="76"/>
        <v>3.5</v>
      </c>
      <c r="G949" s="228">
        <f>S803</f>
        <v>0</v>
      </c>
      <c r="H949" s="165">
        <f t="shared" si="77"/>
        <v>3.5</v>
      </c>
      <c r="I949" s="228">
        <v>2</v>
      </c>
      <c r="J949" s="165">
        <f t="shared" si="78"/>
        <v>7</v>
      </c>
      <c r="K949" s="345"/>
    </row>
    <row r="950" spans="2:11" ht="16.5" thickBot="1">
      <c r="B950" s="291">
        <f t="shared" si="75"/>
        <v>2</v>
      </c>
      <c r="C950" s="69" t="s">
        <v>507</v>
      </c>
      <c r="D950" s="231">
        <v>2</v>
      </c>
      <c r="E950" s="347">
        <v>3.5</v>
      </c>
      <c r="F950" s="231">
        <f t="shared" si="76"/>
        <v>7</v>
      </c>
      <c r="G950" s="228">
        <f>S804</f>
        <v>0</v>
      </c>
      <c r="H950" s="165">
        <f t="shared" si="77"/>
        <v>7</v>
      </c>
      <c r="I950" s="228">
        <v>1</v>
      </c>
      <c r="J950" s="165">
        <f t="shared" si="78"/>
        <v>7</v>
      </c>
      <c r="K950" s="345"/>
    </row>
    <row r="951" spans="2:11" ht="15.75">
      <c r="B951" s="517">
        <f>SUM(B937:B950)</f>
        <v>31.900000000000002</v>
      </c>
      <c r="C951" s="107"/>
      <c r="D951" s="351">
        <f>SUM(D832:D941)</f>
        <v>21.44</v>
      </c>
      <c r="E951" s="347"/>
      <c r="F951" s="231"/>
      <c r="G951" s="68"/>
      <c r="H951" s="165"/>
      <c r="I951" s="68"/>
      <c r="J951" s="478"/>
      <c r="K951" s="491">
        <f>SUM(J832:J941)</f>
        <v>88.7035</v>
      </c>
    </row>
    <row r="952" spans="3:11" ht="15.75">
      <c r="C952" s="107"/>
      <c r="D952" s="165"/>
      <c r="E952" s="347"/>
      <c r="F952" s="165"/>
      <c r="G952" s="68"/>
      <c r="H952" s="165"/>
      <c r="I952" s="68"/>
      <c r="J952" s="165"/>
      <c r="K952" s="346"/>
    </row>
    <row r="953" spans="3:11" ht="15.75">
      <c r="C953" s="138" t="s">
        <v>417</v>
      </c>
      <c r="D953" s="68"/>
      <c r="E953" s="52"/>
      <c r="F953" s="68"/>
      <c r="G953" s="52"/>
      <c r="H953" s="68"/>
      <c r="I953" s="68"/>
      <c r="J953" s="68"/>
      <c r="K953" s="346"/>
    </row>
    <row r="954" spans="3:11" ht="15.75">
      <c r="C954" s="263" t="s">
        <v>418</v>
      </c>
      <c r="D954" s="68"/>
      <c r="E954" s="52"/>
      <c r="F954" s="68"/>
      <c r="G954" s="52"/>
      <c r="H954" s="68"/>
      <c r="I954" s="167"/>
      <c r="J954" s="68"/>
      <c r="K954" s="346"/>
    </row>
    <row r="955" spans="3:11" ht="15.75">
      <c r="C955" s="263" t="s">
        <v>419</v>
      </c>
      <c r="D955" s="165">
        <f>B951</f>
        <v>31.900000000000002</v>
      </c>
      <c r="E955" s="75">
        <v>0.3</v>
      </c>
      <c r="F955" s="165">
        <f>E955*D955</f>
        <v>9.57</v>
      </c>
      <c r="G955" s="52">
        <v>0</v>
      </c>
      <c r="H955" s="165">
        <f>F955-G955</f>
        <v>9.57</v>
      </c>
      <c r="I955" s="68">
        <v>1</v>
      </c>
      <c r="J955" s="165">
        <f>I955*H955</f>
        <v>9.57</v>
      </c>
      <c r="K955" s="346"/>
    </row>
    <row r="956" spans="3:11" ht="15.75">
      <c r="C956" s="107"/>
      <c r="D956" s="165">
        <f>D937</f>
        <v>1.75</v>
      </c>
      <c r="E956" s="347">
        <v>1.8</v>
      </c>
      <c r="F956" s="165">
        <f>E956*D956</f>
        <v>3.15</v>
      </c>
      <c r="G956" s="227">
        <v>0</v>
      </c>
      <c r="H956" s="165">
        <f>F956-G956</f>
        <v>3.15</v>
      </c>
      <c r="I956" s="68">
        <v>2</v>
      </c>
      <c r="J956" s="165">
        <f>I956*H956</f>
        <v>6.3</v>
      </c>
      <c r="K956" s="346"/>
    </row>
    <row r="957" spans="3:11" ht="15.75">
      <c r="C957" s="107"/>
      <c r="D957" s="165">
        <f>D938</f>
        <v>1.2</v>
      </c>
      <c r="E957" s="347">
        <v>1.8</v>
      </c>
      <c r="F957" s="165">
        <f>E957*D957</f>
        <v>2.16</v>
      </c>
      <c r="G957" s="227">
        <v>0</v>
      </c>
      <c r="H957" s="165">
        <f>F957-G957</f>
        <v>2.16</v>
      </c>
      <c r="I957" s="68">
        <v>4</v>
      </c>
      <c r="J957" s="165">
        <f>I957*H957</f>
        <v>8.64</v>
      </c>
      <c r="K957" s="346"/>
    </row>
    <row r="958" spans="3:11" ht="15.75">
      <c r="C958" s="107"/>
      <c r="D958" s="165">
        <v>0.9</v>
      </c>
      <c r="E958" s="347">
        <v>1.8</v>
      </c>
      <c r="F958" s="165">
        <f>E958*D958</f>
        <v>1.62</v>
      </c>
      <c r="G958" s="227">
        <v>0</v>
      </c>
      <c r="H958" s="165">
        <f>F958-G958</f>
        <v>1.62</v>
      </c>
      <c r="I958" s="68">
        <v>2</v>
      </c>
      <c r="J958" s="165">
        <f>I958*H958</f>
        <v>3.24</v>
      </c>
      <c r="K958" s="346"/>
    </row>
    <row r="959" spans="3:11" ht="15.75">
      <c r="C959" s="107"/>
      <c r="D959" s="165">
        <v>1.8</v>
      </c>
      <c r="E959" s="347">
        <v>1.8</v>
      </c>
      <c r="F959" s="165">
        <f>E959*D959</f>
        <v>3.24</v>
      </c>
      <c r="G959" s="52">
        <v>0</v>
      </c>
      <c r="H959" s="165">
        <f>F959-G959</f>
        <v>3.24</v>
      </c>
      <c r="I959" s="68">
        <v>2</v>
      </c>
      <c r="J959" s="165">
        <f>I959*H959</f>
        <v>6.48</v>
      </c>
      <c r="K959" s="346">
        <f>SUM(J955:J959)</f>
        <v>34.230000000000004</v>
      </c>
    </row>
    <row r="960" spans="3:11" ht="15.75">
      <c r="C960" s="107"/>
      <c r="D960" s="165"/>
      <c r="E960" s="347"/>
      <c r="F960" s="165"/>
      <c r="G960" s="52"/>
      <c r="H960" s="165"/>
      <c r="I960" s="68"/>
      <c r="J960" s="165"/>
      <c r="K960" s="346"/>
    </row>
    <row r="961" spans="3:11" ht="15.75">
      <c r="C961" s="138" t="s">
        <v>420</v>
      </c>
      <c r="D961" s="68"/>
      <c r="E961" s="52"/>
      <c r="F961" s="68"/>
      <c r="G961" s="52"/>
      <c r="H961" s="68"/>
      <c r="I961" s="68"/>
      <c r="J961" s="68"/>
      <c r="K961" s="168">
        <f>K951-K959</f>
        <v>54.4735</v>
      </c>
    </row>
    <row r="962" spans="3:11" ht="15.75">
      <c r="C962" s="138" t="s">
        <v>421</v>
      </c>
      <c r="D962" s="68"/>
      <c r="E962" s="52"/>
      <c r="F962" s="167">
        <f>K959</f>
        <v>34.230000000000004</v>
      </c>
      <c r="G962" s="52">
        <v>0</v>
      </c>
      <c r="H962" s="165">
        <f>F962-G962</f>
        <v>34.230000000000004</v>
      </c>
      <c r="I962" s="68">
        <v>2</v>
      </c>
      <c r="J962" s="165">
        <f>I962*H962</f>
        <v>68.46000000000001</v>
      </c>
      <c r="K962" s="168">
        <f>J962</f>
        <v>68.46000000000001</v>
      </c>
    </row>
    <row r="963" spans="3:11" ht="15.75">
      <c r="C963" s="138" t="s">
        <v>422</v>
      </c>
      <c r="D963" s="68"/>
      <c r="E963" s="52"/>
      <c r="F963" s="350">
        <f>K961</f>
        <v>54.4735</v>
      </c>
      <c r="G963" s="52">
        <v>0</v>
      </c>
      <c r="H963" s="165">
        <f>F963-G963</f>
        <v>54.4735</v>
      </c>
      <c r="I963" s="68">
        <v>2</v>
      </c>
      <c r="J963" s="165">
        <f>I963*H963</f>
        <v>108.947</v>
      </c>
      <c r="K963" s="168">
        <f>J963</f>
        <v>108.947</v>
      </c>
    </row>
    <row r="964" spans="3:11" ht="15.75">
      <c r="C964" s="246"/>
      <c r="D964" s="232"/>
      <c r="E964" s="344"/>
      <c r="F964" s="232"/>
      <c r="G964" s="247"/>
      <c r="H964" s="232"/>
      <c r="I964" s="247"/>
      <c r="J964" s="232"/>
      <c r="K964" s="368"/>
    </row>
    <row r="966" ht="16.5" thickBot="1"/>
    <row r="967" spans="3:11" ht="16.5" thickTop="1">
      <c r="C967" s="175"/>
      <c r="D967" s="176"/>
      <c r="E967" s="1057"/>
      <c r="F967" s="1058"/>
      <c r="G967" s="176"/>
      <c r="H967" s="82"/>
      <c r="I967" s="255"/>
      <c r="J967" s="255"/>
      <c r="K967" s="177"/>
    </row>
    <row r="968" spans="3:11" ht="15.75">
      <c r="C968" s="203" t="s">
        <v>366</v>
      </c>
      <c r="D968" s="208"/>
      <c r="E968" s="1059"/>
      <c r="F968" s="1060"/>
      <c r="G968" s="204" t="s">
        <v>368</v>
      </c>
      <c r="H968" s="205" t="s">
        <v>225</v>
      </c>
      <c r="I968" s="205" t="s">
        <v>225</v>
      </c>
      <c r="J968" s="205"/>
      <c r="K968" s="256" t="s">
        <v>225</v>
      </c>
    </row>
    <row r="969" spans="3:11" ht="15.75">
      <c r="C969" s="203"/>
      <c r="D969" s="211"/>
      <c r="E969" s="68"/>
      <c r="F969" s="259"/>
      <c r="G969" s="204"/>
      <c r="H969" s="211"/>
      <c r="I969" s="205" t="s">
        <v>368</v>
      </c>
      <c r="J969" s="205"/>
      <c r="K969" s="256" t="s">
        <v>328</v>
      </c>
    </row>
    <row r="970" spans="3:11" ht="16.5" thickBot="1">
      <c r="C970" s="127"/>
      <c r="D970" s="68"/>
      <c r="E970" s="211" t="s">
        <v>335</v>
      </c>
      <c r="F970" s="211" t="s">
        <v>335</v>
      </c>
      <c r="G970" s="204" t="s">
        <v>371</v>
      </c>
      <c r="H970" s="219"/>
      <c r="I970" s="205" t="s">
        <v>371</v>
      </c>
      <c r="J970" s="205"/>
      <c r="K970" s="220"/>
    </row>
    <row r="971" spans="3:11" ht="16.5" thickBot="1">
      <c r="C971" s="178" t="s">
        <v>261</v>
      </c>
      <c r="D971" s="179" t="s">
        <v>262</v>
      </c>
      <c r="E971" s="180" t="s">
        <v>263</v>
      </c>
      <c r="F971" s="179" t="s">
        <v>264</v>
      </c>
      <c r="G971" s="260" t="s">
        <v>374</v>
      </c>
      <c r="H971" s="179" t="s">
        <v>266</v>
      </c>
      <c r="I971" s="179" t="s">
        <v>373</v>
      </c>
      <c r="J971" s="179" t="s">
        <v>364</v>
      </c>
      <c r="K971" s="225" t="s">
        <v>344</v>
      </c>
    </row>
    <row r="972" spans="3:11" ht="15.75">
      <c r="C972" s="67"/>
      <c r="D972" s="261"/>
      <c r="E972" s="262"/>
      <c r="F972" s="68"/>
      <c r="G972" s="52"/>
      <c r="H972" s="68"/>
      <c r="I972" s="68"/>
      <c r="J972" s="68"/>
      <c r="K972" s="164"/>
    </row>
    <row r="973" spans="3:11" ht="15.75">
      <c r="C973" s="226" t="s">
        <v>375</v>
      </c>
      <c r="D973" s="68"/>
      <c r="E973" s="52"/>
      <c r="F973" s="68"/>
      <c r="G973" s="52"/>
      <c r="H973" s="68"/>
      <c r="I973" s="68"/>
      <c r="J973" s="68"/>
      <c r="K973" s="164"/>
    </row>
    <row r="974" spans="3:11" ht="15.75">
      <c r="C974" s="226" t="s">
        <v>452</v>
      </c>
      <c r="D974" s="68"/>
      <c r="E974" s="52"/>
      <c r="F974" s="68"/>
      <c r="G974" s="52"/>
      <c r="H974" s="68"/>
      <c r="I974" s="68"/>
      <c r="J974" s="68"/>
      <c r="K974" s="164"/>
    </row>
    <row r="975" spans="3:11" ht="15.75">
      <c r="C975" s="325"/>
      <c r="D975" s="165">
        <v>5.4</v>
      </c>
      <c r="E975" s="75">
        <v>5.4</v>
      </c>
      <c r="F975" s="75">
        <v>3</v>
      </c>
      <c r="G975" s="75">
        <f>(D975+E975)/2*F975</f>
        <v>16.200000000000003</v>
      </c>
      <c r="H975" s="68">
        <v>4</v>
      </c>
      <c r="I975" s="167">
        <f>G975*H975</f>
        <v>64.80000000000001</v>
      </c>
      <c r="J975" s="167"/>
      <c r="K975" s="164"/>
    </row>
    <row r="976" spans="3:11" ht="15.75">
      <c r="C976" s="325"/>
      <c r="D976" s="231"/>
      <c r="E976" s="347"/>
      <c r="F976" s="347"/>
      <c r="G976" s="75"/>
      <c r="H976" s="68"/>
      <c r="I976" s="167"/>
      <c r="J976" s="165">
        <f>SUM(I975:I976)</f>
        <v>64.80000000000001</v>
      </c>
      <c r="K976" s="168">
        <f>J976</f>
        <v>64.80000000000001</v>
      </c>
    </row>
    <row r="977" spans="3:11" ht="15.75">
      <c r="C977" s="107"/>
      <c r="D977" s="165"/>
      <c r="E977" s="75"/>
      <c r="F977" s="165"/>
      <c r="G977" s="75"/>
      <c r="H977" s="68"/>
      <c r="I977" s="167"/>
      <c r="J977" s="167"/>
      <c r="K977" s="168"/>
    </row>
    <row r="978" spans="3:11" ht="15.75">
      <c r="C978" s="138" t="s">
        <v>377</v>
      </c>
      <c r="D978" s="165"/>
      <c r="E978" s="75"/>
      <c r="F978" s="165"/>
      <c r="G978" s="75"/>
      <c r="H978" s="68"/>
      <c r="I978" s="165"/>
      <c r="J978" s="165"/>
      <c r="K978" s="168">
        <f>K976</f>
        <v>64.80000000000001</v>
      </c>
    </row>
    <row r="979" spans="3:11" ht="15.75">
      <c r="C979" s="107"/>
      <c r="D979" s="165"/>
      <c r="E979" s="75"/>
      <c r="F979" s="165"/>
      <c r="G979" s="75"/>
      <c r="H979" s="68"/>
      <c r="I979" s="165"/>
      <c r="J979" s="165"/>
      <c r="K979" s="164"/>
    </row>
    <row r="980" spans="3:11" ht="15.75">
      <c r="C980" s="107"/>
      <c r="D980" s="165"/>
      <c r="E980" s="75"/>
      <c r="F980" s="165"/>
      <c r="G980" s="75"/>
      <c r="H980" s="68"/>
      <c r="I980" s="165"/>
      <c r="J980" s="165"/>
      <c r="K980" s="164"/>
    </row>
    <row r="981" spans="3:11" ht="15.75">
      <c r="C981" s="138" t="s">
        <v>378</v>
      </c>
      <c r="D981" s="165"/>
      <c r="E981" s="75"/>
      <c r="F981" s="165"/>
      <c r="G981" s="75"/>
      <c r="H981" s="68"/>
      <c r="I981" s="165"/>
      <c r="J981" s="165"/>
      <c r="K981" s="168"/>
    </row>
    <row r="982" spans="3:11" ht="15.75">
      <c r="C982" s="93"/>
      <c r="D982" s="165">
        <v>4.04</v>
      </c>
      <c r="E982" s="75">
        <v>1</v>
      </c>
      <c r="F982" s="165">
        <v>1</v>
      </c>
      <c r="G982" s="75">
        <f>D982*E982*F982</f>
        <v>4.04</v>
      </c>
      <c r="H982" s="68">
        <v>4</v>
      </c>
      <c r="I982" s="165">
        <f>H982*G982</f>
        <v>16.16</v>
      </c>
      <c r="J982" s="165"/>
      <c r="K982" s="168"/>
    </row>
    <row r="983" spans="3:11" ht="15.75">
      <c r="C983" s="93"/>
      <c r="D983" s="165"/>
      <c r="E983" s="75"/>
      <c r="F983" s="165"/>
      <c r="G983" s="75"/>
      <c r="H983" s="68"/>
      <c r="I983" s="165"/>
      <c r="J983" s="165">
        <f>SUM(I982:I983)</f>
        <v>16.16</v>
      </c>
      <c r="K983" s="168">
        <f>J983</f>
        <v>16.16</v>
      </c>
    </row>
    <row r="984" spans="3:11" ht="15.75">
      <c r="C984" s="138" t="s">
        <v>379</v>
      </c>
      <c r="D984" s="75"/>
      <c r="E984" s="165"/>
      <c r="F984" s="165"/>
      <c r="G984" s="75"/>
      <c r="H984" s="68"/>
      <c r="I984" s="165"/>
      <c r="J984" s="165"/>
      <c r="K984" s="168"/>
    </row>
    <row r="985" spans="3:11" ht="15.75">
      <c r="C985" s="325"/>
      <c r="D985" s="518">
        <f>D975</f>
        <v>5.4</v>
      </c>
      <c r="E985" s="68">
        <v>1</v>
      </c>
      <c r="F985" s="68">
        <v>1</v>
      </c>
      <c r="G985" s="68">
        <f>D985*E985*F985</f>
        <v>5.4</v>
      </c>
      <c r="H985" s="68">
        <v>4</v>
      </c>
      <c r="I985" s="68">
        <f>G985*H985</f>
        <v>21.6</v>
      </c>
      <c r="J985" s="165"/>
      <c r="K985" s="168"/>
    </row>
    <row r="986" spans="3:11" ht="15.75">
      <c r="C986" s="263"/>
      <c r="D986" s="124"/>
      <c r="E986" s="68"/>
      <c r="F986" s="68"/>
      <c r="G986" s="68"/>
      <c r="H986" s="68"/>
      <c r="I986" s="68"/>
      <c r="J986" s="165">
        <f>SUM(I985:I986)</f>
        <v>21.6</v>
      </c>
      <c r="K986" s="168">
        <f>J986</f>
        <v>21.6</v>
      </c>
    </row>
    <row r="987" spans="3:11" ht="15.75">
      <c r="C987" s="263"/>
      <c r="D987" s="124"/>
      <c r="E987" s="52"/>
      <c r="F987" s="68"/>
      <c r="G987" s="52"/>
      <c r="H987" s="68"/>
      <c r="I987" s="68"/>
      <c r="J987" s="165"/>
      <c r="K987" s="168"/>
    </row>
    <row r="988" spans="3:11" ht="15.75">
      <c r="C988" s="144" t="s">
        <v>615</v>
      </c>
      <c r="D988" s="165"/>
      <c r="E988" s="75"/>
      <c r="F988" s="165"/>
      <c r="G988" s="75"/>
      <c r="H988" s="68"/>
      <c r="I988" s="165"/>
      <c r="J988" s="165"/>
      <c r="K988" s="168">
        <f>K983</f>
        <v>16.16</v>
      </c>
    </row>
    <row r="989" spans="3:11" ht="15.75">
      <c r="C989" s="144"/>
      <c r="D989" s="165"/>
      <c r="E989" s="75"/>
      <c r="F989" s="165"/>
      <c r="G989" s="75"/>
      <c r="H989" s="68"/>
      <c r="I989" s="165"/>
      <c r="J989" s="165"/>
      <c r="K989" s="168"/>
    </row>
    <row r="990" spans="3:11" ht="15.75">
      <c r="C990" s="138"/>
      <c r="D990" s="165"/>
      <c r="E990" s="75"/>
      <c r="F990" s="165"/>
      <c r="G990" s="75"/>
      <c r="H990" s="68"/>
      <c r="I990" s="165"/>
      <c r="J990" s="165"/>
      <c r="K990" s="168"/>
    </row>
    <row r="991" spans="3:11" ht="16.5" thickBot="1">
      <c r="C991" s="271"/>
      <c r="D991" s="170"/>
      <c r="E991" s="171"/>
      <c r="F991" s="170"/>
      <c r="G991" s="171"/>
      <c r="H991" s="74"/>
      <c r="I991" s="170"/>
      <c r="J991" s="170"/>
      <c r="K991" s="272"/>
    </row>
    <row r="992" ht="16.5" thickTop="1"/>
    <row r="993" ht="16.5" thickBot="1"/>
    <row r="994" spans="3:11" ht="16.5" thickTop="1">
      <c r="C994" s="125"/>
      <c r="D994" s="1067" t="s">
        <v>319</v>
      </c>
      <c r="E994" s="1068"/>
      <c r="F994" s="1068"/>
      <c r="G994" s="1069" t="s">
        <v>272</v>
      </c>
      <c r="H994" s="1068"/>
      <c r="I994" s="1068"/>
      <c r="J994" s="1068"/>
      <c r="K994" s="73"/>
    </row>
    <row r="995" spans="3:11" ht="15.75">
      <c r="C995" s="67" t="s">
        <v>323</v>
      </c>
      <c r="D995" s="68" t="s">
        <v>188</v>
      </c>
      <c r="E995" s="68" t="s">
        <v>324</v>
      </c>
      <c r="F995" s="52" t="s">
        <v>325</v>
      </c>
      <c r="G995" s="69" t="s">
        <v>326</v>
      </c>
      <c r="H995" s="68" t="s">
        <v>327</v>
      </c>
      <c r="I995" s="52" t="s">
        <v>328</v>
      </c>
      <c r="J995" s="1055" t="s">
        <v>328</v>
      </c>
      <c r="K995" s="1056"/>
    </row>
    <row r="996" spans="3:11" ht="16.5" thickBot="1">
      <c r="C996" s="72"/>
      <c r="D996" s="74" t="s">
        <v>335</v>
      </c>
      <c r="E996" s="74" t="s">
        <v>335</v>
      </c>
      <c r="F996" s="76" t="s">
        <v>335</v>
      </c>
      <c r="G996" s="77">
        <v>1</v>
      </c>
      <c r="H996" s="74" t="s">
        <v>326</v>
      </c>
      <c r="I996" s="76" t="s">
        <v>134</v>
      </c>
      <c r="J996" s="76"/>
      <c r="K996" s="78"/>
    </row>
    <row r="997" spans="3:11" ht="16.5" thickTop="1">
      <c r="C997" s="84"/>
      <c r="D997" s="82"/>
      <c r="E997" s="82"/>
      <c r="F997" s="82"/>
      <c r="G997" s="82"/>
      <c r="H997" s="82"/>
      <c r="I997" s="83"/>
      <c r="J997" s="83"/>
      <c r="K997" s="87"/>
    </row>
    <row r="998" spans="3:11" ht="15.75">
      <c r="C998" s="88" t="s">
        <v>636</v>
      </c>
      <c r="D998" s="94"/>
      <c r="E998" s="94"/>
      <c r="F998" s="94"/>
      <c r="G998" s="94"/>
      <c r="H998" s="94"/>
      <c r="I998" s="95"/>
      <c r="J998" s="95"/>
      <c r="K998" s="96"/>
    </row>
    <row r="999" spans="3:11" ht="15.75">
      <c r="C999" s="249" t="s">
        <v>642</v>
      </c>
      <c r="D999" s="374">
        <v>0.12</v>
      </c>
      <c r="E999" s="374">
        <v>0.12</v>
      </c>
      <c r="F999" s="94">
        <v>3.5</v>
      </c>
      <c r="G999" s="94">
        <f>F999*E999*D999</f>
        <v>0.05039999999999999</v>
      </c>
      <c r="H999" s="68">
        <v>14</v>
      </c>
      <c r="I999" s="95">
        <f>H999*G999</f>
        <v>0.7055999999999999</v>
      </c>
      <c r="J999" s="505">
        <f>SUM(I999:I1000)</f>
        <v>1.05696</v>
      </c>
      <c r="K999" s="506">
        <f>J999</f>
        <v>1.05696</v>
      </c>
    </row>
    <row r="1000" spans="3:11" ht="15.75">
      <c r="C1000" s="249"/>
      <c r="D1000" s="374">
        <v>0.12</v>
      </c>
      <c r="E1000" s="374">
        <v>0.12</v>
      </c>
      <c r="F1000" s="94">
        <v>3.05</v>
      </c>
      <c r="G1000" s="94">
        <f>F1000*E1000*D1000</f>
        <v>0.04392</v>
      </c>
      <c r="H1000" s="68">
        <v>8</v>
      </c>
      <c r="I1000" s="95">
        <f>H1000*G1000</f>
        <v>0.35136</v>
      </c>
      <c r="J1000" s="505"/>
      <c r="K1000" s="506"/>
    </row>
    <row r="1001" spans="3:11" ht="15.75">
      <c r="C1001" s="212"/>
      <c r="D1001" s="89"/>
      <c r="E1001" s="89"/>
      <c r="F1001" s="89"/>
      <c r="G1001" s="89"/>
      <c r="H1001" s="89"/>
      <c r="I1001" s="90"/>
      <c r="J1001" s="90"/>
      <c r="K1001" s="85"/>
    </row>
    <row r="1002" spans="3:11" ht="15.75">
      <c r="C1002" s="212" t="s">
        <v>643</v>
      </c>
      <c r="D1002" s="89">
        <v>0.12</v>
      </c>
      <c r="E1002" s="89">
        <v>0.2</v>
      </c>
      <c r="F1002" s="89">
        <v>2.95</v>
      </c>
      <c r="G1002" s="94">
        <f aca="true" t="shared" si="79" ref="G1002:G1007">F1002*E1002*D1002</f>
        <v>0.0708</v>
      </c>
      <c r="H1002" s="68">
        <v>2</v>
      </c>
      <c r="I1002" s="95">
        <f aca="true" t="shared" si="80" ref="I1002:I1007">H1002*G1002</f>
        <v>0.1416</v>
      </c>
      <c r="J1002" s="505"/>
      <c r="K1002" s="85"/>
    </row>
    <row r="1003" spans="3:11" ht="15.75">
      <c r="C1003" s="212"/>
      <c r="D1003" s="89">
        <v>0.12</v>
      </c>
      <c r="E1003" s="89">
        <v>0.2</v>
      </c>
      <c r="F1003" s="89">
        <f>2.95+1.05</f>
        <v>4</v>
      </c>
      <c r="G1003" s="94">
        <f t="shared" si="79"/>
        <v>0.096</v>
      </c>
      <c r="H1003" s="68">
        <v>2</v>
      </c>
      <c r="I1003" s="95">
        <f t="shared" si="80"/>
        <v>0.192</v>
      </c>
      <c r="J1003" s="505"/>
      <c r="K1003" s="85"/>
    </row>
    <row r="1004" spans="3:11" ht="15.75">
      <c r="C1004" s="212"/>
      <c r="D1004" s="89">
        <v>0.12</v>
      </c>
      <c r="E1004" s="89">
        <v>0.2</v>
      </c>
      <c r="F1004" s="89">
        <v>4</v>
      </c>
      <c r="G1004" s="94">
        <f t="shared" si="79"/>
        <v>0.096</v>
      </c>
      <c r="H1004" s="68">
        <v>1</v>
      </c>
      <c r="I1004" s="95">
        <f t="shared" si="80"/>
        <v>0.096</v>
      </c>
      <c r="J1004" s="505"/>
      <c r="K1004" s="85"/>
    </row>
    <row r="1005" spans="3:11" ht="15.75">
      <c r="C1005" s="212"/>
      <c r="D1005" s="89">
        <v>0.12</v>
      </c>
      <c r="E1005" s="89">
        <v>0.2</v>
      </c>
      <c r="F1005" s="89">
        <v>1.8</v>
      </c>
      <c r="G1005" s="94">
        <f t="shared" si="79"/>
        <v>0.0432</v>
      </c>
      <c r="H1005" s="68">
        <v>6</v>
      </c>
      <c r="I1005" s="95">
        <f t="shared" si="80"/>
        <v>0.2592</v>
      </c>
      <c r="J1005" s="505"/>
      <c r="K1005" s="85"/>
    </row>
    <row r="1006" spans="3:11" ht="15.75">
      <c r="C1006" s="212"/>
      <c r="D1006" s="89">
        <v>0.12</v>
      </c>
      <c r="E1006" s="89">
        <v>0.2</v>
      </c>
      <c r="F1006" s="89">
        <v>1</v>
      </c>
      <c r="G1006" s="94">
        <f t="shared" si="79"/>
        <v>0.024</v>
      </c>
      <c r="H1006" s="68">
        <v>2</v>
      </c>
      <c r="I1006" s="95">
        <f t="shared" si="80"/>
        <v>0.048</v>
      </c>
      <c r="J1006" s="505"/>
      <c r="K1006" s="85"/>
    </row>
    <row r="1007" spans="3:11" ht="15.75">
      <c r="C1007" s="212"/>
      <c r="D1007" s="89">
        <v>0.12</v>
      </c>
      <c r="E1007" s="89">
        <v>0.2</v>
      </c>
      <c r="F1007" s="89">
        <v>2</v>
      </c>
      <c r="G1007" s="94">
        <f t="shared" si="79"/>
        <v>0.048</v>
      </c>
      <c r="H1007" s="68">
        <v>1</v>
      </c>
      <c r="I1007" s="95">
        <f t="shared" si="80"/>
        <v>0.048</v>
      </c>
      <c r="J1007" s="505">
        <f>SUM(I1002:I1007)</f>
        <v>0.7848</v>
      </c>
      <c r="K1007" s="506">
        <f>J1007</f>
        <v>0.7848</v>
      </c>
    </row>
    <row r="1008" spans="3:11" ht="15.75">
      <c r="C1008" s="212"/>
      <c r="D1008" s="89"/>
      <c r="E1008" s="89"/>
      <c r="F1008" s="89"/>
      <c r="G1008" s="94"/>
      <c r="H1008" s="68"/>
      <c r="I1008" s="95"/>
      <c r="J1008" s="505"/>
      <c r="K1008" s="85"/>
    </row>
    <row r="1009" spans="3:11" ht="15.75">
      <c r="C1009" s="212" t="s">
        <v>644</v>
      </c>
      <c r="D1009" s="89">
        <v>0.12</v>
      </c>
      <c r="E1009" s="89">
        <v>0.2</v>
      </c>
      <c r="F1009" s="89">
        <v>2.95</v>
      </c>
      <c r="G1009" s="94">
        <f aca="true" t="shared" si="81" ref="G1009:G1015">F1009*E1009*D1009</f>
        <v>0.0708</v>
      </c>
      <c r="H1009" s="68">
        <v>2</v>
      </c>
      <c r="I1009" s="95">
        <f aca="true" t="shared" si="82" ref="I1009:I1015">H1009*G1009</f>
        <v>0.1416</v>
      </c>
      <c r="J1009" s="505"/>
      <c r="K1009" s="85"/>
    </row>
    <row r="1010" spans="3:11" ht="15.75">
      <c r="C1010" s="212"/>
      <c r="D1010" s="89">
        <v>0.12</v>
      </c>
      <c r="E1010" s="89">
        <v>0.2</v>
      </c>
      <c r="F1010" s="89">
        <f>2.95+1.05</f>
        <v>4</v>
      </c>
      <c r="G1010" s="94">
        <f t="shared" si="81"/>
        <v>0.096</v>
      </c>
      <c r="H1010" s="68">
        <v>2</v>
      </c>
      <c r="I1010" s="95">
        <f t="shared" si="82"/>
        <v>0.192</v>
      </c>
      <c r="J1010" s="505"/>
      <c r="K1010" s="85"/>
    </row>
    <row r="1011" spans="3:11" ht="15.75">
      <c r="C1011" s="212"/>
      <c r="D1011" s="89">
        <v>0.12</v>
      </c>
      <c r="E1011" s="89">
        <v>0.2</v>
      </c>
      <c r="F1011" s="89">
        <v>4</v>
      </c>
      <c r="G1011" s="94">
        <f t="shared" si="81"/>
        <v>0.096</v>
      </c>
      <c r="H1011" s="68">
        <v>1</v>
      </c>
      <c r="I1011" s="95">
        <f t="shared" si="82"/>
        <v>0.096</v>
      </c>
      <c r="J1011" s="505"/>
      <c r="K1011" s="85"/>
    </row>
    <row r="1012" spans="3:11" ht="15.75">
      <c r="C1012" s="212"/>
      <c r="D1012" s="89">
        <v>0.12</v>
      </c>
      <c r="E1012" s="89">
        <v>0.2</v>
      </c>
      <c r="F1012" s="89">
        <v>1.8</v>
      </c>
      <c r="G1012" s="94">
        <f t="shared" si="81"/>
        <v>0.0432</v>
      </c>
      <c r="H1012" s="68">
        <v>6</v>
      </c>
      <c r="I1012" s="95">
        <f t="shared" si="82"/>
        <v>0.2592</v>
      </c>
      <c r="J1012" s="505"/>
      <c r="K1012" s="85"/>
    </row>
    <row r="1013" spans="3:11" ht="15.75">
      <c r="C1013" s="212"/>
      <c r="D1013" s="89">
        <v>0.12</v>
      </c>
      <c r="E1013" s="89">
        <v>0.2</v>
      </c>
      <c r="F1013" s="89">
        <v>1</v>
      </c>
      <c r="G1013" s="94">
        <f t="shared" si="81"/>
        <v>0.024</v>
      </c>
      <c r="H1013" s="68">
        <v>2</v>
      </c>
      <c r="I1013" s="95">
        <f t="shared" si="82"/>
        <v>0.048</v>
      </c>
      <c r="J1013" s="505"/>
      <c r="K1013" s="85"/>
    </row>
    <row r="1014" spans="3:11" ht="15.75">
      <c r="C1014" s="212"/>
      <c r="D1014" s="89">
        <v>0.12</v>
      </c>
      <c r="E1014" s="89">
        <v>0.2</v>
      </c>
      <c r="F1014" s="89">
        <v>4</v>
      </c>
      <c r="G1014" s="94">
        <f t="shared" si="81"/>
        <v>0.096</v>
      </c>
      <c r="H1014" s="68">
        <v>4</v>
      </c>
      <c r="I1014" s="95">
        <f t="shared" si="82"/>
        <v>0.384</v>
      </c>
      <c r="J1014" s="505"/>
      <c r="K1014" s="85"/>
    </row>
    <row r="1015" spans="3:11" ht="15.75">
      <c r="C1015" s="212"/>
      <c r="D1015" s="89">
        <v>0.12</v>
      </c>
      <c r="E1015" s="89">
        <v>0.2</v>
      </c>
      <c r="F1015" s="89">
        <v>2</v>
      </c>
      <c r="G1015" s="94">
        <f t="shared" si="81"/>
        <v>0.048</v>
      </c>
      <c r="H1015" s="68">
        <v>1</v>
      </c>
      <c r="I1015" s="95">
        <f t="shared" si="82"/>
        <v>0.048</v>
      </c>
      <c r="J1015" s="505">
        <f>SUM(I1009:I1015)</f>
        <v>1.1688</v>
      </c>
      <c r="K1015" s="506">
        <f>J1015</f>
        <v>1.1688</v>
      </c>
    </row>
    <row r="1016" spans="3:11" ht="15.75">
      <c r="C1016" s="212"/>
      <c r="D1016" s="89"/>
      <c r="E1016" s="89"/>
      <c r="F1016" s="89"/>
      <c r="G1016" s="89"/>
      <c r="H1016" s="89"/>
      <c r="I1016" s="90"/>
      <c r="J1016" s="90"/>
      <c r="K1016" s="85"/>
    </row>
    <row r="1017" spans="3:11" ht="15.75">
      <c r="C1017" s="212" t="s">
        <v>645</v>
      </c>
      <c r="D1017" s="89">
        <v>0.12</v>
      </c>
      <c r="E1017" s="89">
        <v>0.2</v>
      </c>
      <c r="F1017" s="89">
        <v>2</v>
      </c>
      <c r="G1017" s="94">
        <f>F1017*E1017*D1017</f>
        <v>0.048</v>
      </c>
      <c r="H1017" s="68">
        <v>1</v>
      </c>
      <c r="I1017" s="95">
        <f>H1017*G1017</f>
        <v>0.048</v>
      </c>
      <c r="J1017" s="90"/>
      <c r="K1017" s="85"/>
    </row>
    <row r="1018" spans="3:11" ht="15.75">
      <c r="C1018" s="212"/>
      <c r="D1018" s="89">
        <v>0.12</v>
      </c>
      <c r="E1018" s="89">
        <v>0.2</v>
      </c>
      <c r="F1018" s="89">
        <v>1</v>
      </c>
      <c r="G1018" s="94">
        <f>F1018*E1018*D1018</f>
        <v>0.024</v>
      </c>
      <c r="H1018" s="68">
        <v>2</v>
      </c>
      <c r="I1018" s="95">
        <f>H1018*G1018</f>
        <v>0.048</v>
      </c>
      <c r="J1018" s="505">
        <f>SUM(I1017:I1018)</f>
        <v>0.096</v>
      </c>
      <c r="K1018" s="506">
        <f>J1018</f>
        <v>0.096</v>
      </c>
    </row>
    <row r="1019" spans="3:11" ht="15.75">
      <c r="C1019" s="212"/>
      <c r="D1019" s="89"/>
      <c r="E1019" s="89"/>
      <c r="F1019" s="89"/>
      <c r="G1019" s="94"/>
      <c r="H1019" s="68"/>
      <c r="I1019" s="95"/>
      <c r="J1019" s="90"/>
      <c r="K1019" s="85"/>
    </row>
    <row r="1020" spans="3:11" ht="15.75">
      <c r="C1020" s="212" t="s">
        <v>646</v>
      </c>
      <c r="D1020" s="89">
        <v>0.08</v>
      </c>
      <c r="E1020" s="89">
        <v>1</v>
      </c>
      <c r="F1020" s="89">
        <v>4</v>
      </c>
      <c r="G1020" s="94">
        <f>F1020*E1020*D1020</f>
        <v>0.32</v>
      </c>
      <c r="H1020" s="68">
        <v>1</v>
      </c>
      <c r="I1020" s="95">
        <f>H1020*G1020</f>
        <v>0.32</v>
      </c>
      <c r="J1020" s="90"/>
      <c r="K1020" s="85"/>
    </row>
    <row r="1021" spans="3:11" ht="15.75">
      <c r="C1021" s="212"/>
      <c r="D1021" s="89">
        <v>0.08</v>
      </c>
      <c r="E1021" s="89">
        <v>1</v>
      </c>
      <c r="F1021" s="89">
        <v>2</v>
      </c>
      <c r="G1021" s="94">
        <f>F1021*E1021*D1021</f>
        <v>0.16</v>
      </c>
      <c r="H1021" s="68">
        <v>1</v>
      </c>
      <c r="I1021" s="95">
        <f>H1021*G1021</f>
        <v>0.16</v>
      </c>
      <c r="J1021" s="90"/>
      <c r="K1021" s="85"/>
    </row>
    <row r="1022" spans="3:11" ht="15.75">
      <c r="C1022" s="212"/>
      <c r="D1022" s="89"/>
      <c r="E1022" s="89"/>
      <c r="F1022" s="89"/>
      <c r="G1022" s="94">
        <f>F1022*E1022*D1022</f>
        <v>0</v>
      </c>
      <c r="H1022" s="68">
        <v>1</v>
      </c>
      <c r="I1022" s="95">
        <f>H1022*G1022</f>
        <v>0</v>
      </c>
      <c r="J1022" s="505">
        <f>SUM(I1020:I1022)</f>
        <v>0.48</v>
      </c>
      <c r="K1022" s="506">
        <f>J1022</f>
        <v>0.48</v>
      </c>
    </row>
    <row r="1023" spans="3:11" ht="15.75">
      <c r="C1023" s="212"/>
      <c r="D1023" s="89"/>
      <c r="E1023" s="89"/>
      <c r="F1023" s="89"/>
      <c r="G1023" s="89"/>
      <c r="H1023" s="89"/>
      <c r="I1023" s="90"/>
      <c r="J1023" s="90"/>
      <c r="K1023" s="85"/>
    </row>
    <row r="1024" spans="3:11" ht="15.75">
      <c r="C1024" s="212" t="s">
        <v>654</v>
      </c>
      <c r="D1024" s="89">
        <v>0.08</v>
      </c>
      <c r="E1024" s="89">
        <v>0.9</v>
      </c>
      <c r="F1024" s="89">
        <v>2.95</v>
      </c>
      <c r="G1024" s="94">
        <f>F1024*E1024*D1024</f>
        <v>0.21240000000000003</v>
      </c>
      <c r="H1024" s="68">
        <v>2</v>
      </c>
      <c r="I1024" s="95">
        <f>H1024*G1024</f>
        <v>0.42480000000000007</v>
      </c>
      <c r="J1024" s="505">
        <f>I1024</f>
        <v>0.42480000000000007</v>
      </c>
      <c r="K1024" s="506">
        <f>J1024</f>
        <v>0.42480000000000007</v>
      </c>
    </row>
    <row r="1025" spans="3:11" ht="15.75">
      <c r="C1025" s="212"/>
      <c r="D1025" s="89"/>
      <c r="E1025" s="89"/>
      <c r="F1025" s="89"/>
      <c r="G1025" s="89"/>
      <c r="H1025" s="89"/>
      <c r="I1025" s="90"/>
      <c r="J1025" s="90"/>
      <c r="K1025" s="85"/>
    </row>
    <row r="1026" spans="3:11" ht="15.75">
      <c r="C1026" s="212"/>
      <c r="D1026" s="89"/>
      <c r="E1026" s="89"/>
      <c r="F1026" s="89"/>
      <c r="G1026" s="89"/>
      <c r="H1026" s="89"/>
      <c r="I1026" s="90"/>
      <c r="J1026" s="90"/>
      <c r="K1026" s="85"/>
    </row>
    <row r="1027" spans="3:11" ht="15.75">
      <c r="C1027" s="212"/>
      <c r="D1027" s="89"/>
      <c r="E1027" s="89"/>
      <c r="F1027" s="89"/>
      <c r="G1027" s="89"/>
      <c r="H1027" s="89"/>
      <c r="I1027" s="90"/>
      <c r="J1027" s="90"/>
      <c r="K1027" s="85"/>
    </row>
    <row r="1028" spans="3:11" ht="15.75">
      <c r="C1028" s="212"/>
      <c r="D1028" s="89"/>
      <c r="E1028" s="89"/>
      <c r="F1028" s="89"/>
      <c r="G1028" s="89"/>
      <c r="H1028" s="89"/>
      <c r="I1028" s="90"/>
      <c r="J1028" s="90"/>
      <c r="K1028" s="85"/>
    </row>
    <row r="1029" spans="3:11" ht="15.75">
      <c r="C1029" s="212"/>
      <c r="D1029" s="89"/>
      <c r="E1029" s="89"/>
      <c r="F1029" s="89"/>
      <c r="G1029" s="89"/>
      <c r="H1029" s="89"/>
      <c r="I1029" s="90"/>
      <c r="J1029" s="90"/>
      <c r="K1029" s="85"/>
    </row>
    <row r="1030" spans="3:11" ht="16.5" thickBot="1">
      <c r="C1030" s="507"/>
      <c r="D1030" s="508"/>
      <c r="E1030" s="508"/>
      <c r="F1030" s="509"/>
      <c r="G1030" s="510"/>
      <c r="H1030" s="74"/>
      <c r="I1030" s="511">
        <f>H1030*G1030</f>
        <v>0</v>
      </c>
      <c r="J1030" s="511"/>
      <c r="K1030" s="512"/>
    </row>
    <row r="1031" ht="16.5" thickTop="1"/>
    <row r="1034" spans="3:9" ht="15.75">
      <c r="C1034" s="503" t="s">
        <v>386</v>
      </c>
      <c r="D1034">
        <v>5.4</v>
      </c>
      <c r="E1034">
        <v>5.4</v>
      </c>
      <c r="F1034">
        <v>1</v>
      </c>
      <c r="G1034">
        <f>F1034*E1034*D1034</f>
        <v>29.160000000000004</v>
      </c>
      <c r="H1034">
        <v>1</v>
      </c>
      <c r="I1034">
        <f>H1034*G1034</f>
        <v>29.160000000000004</v>
      </c>
    </row>
    <row r="1035" spans="3:11" ht="15.75">
      <c r="C1035" s="503"/>
      <c r="D1035">
        <v>2.95</v>
      </c>
      <c r="E1035">
        <v>1.8</v>
      </c>
      <c r="F1035">
        <v>1</v>
      </c>
      <c r="G1035">
        <f>F1035*E1035*D1035</f>
        <v>5.3100000000000005</v>
      </c>
      <c r="H1035">
        <v>2</v>
      </c>
      <c r="I1035">
        <f>H1035*G1035</f>
        <v>10.620000000000001</v>
      </c>
      <c r="J1035">
        <f>SUM(I1034:I1035)</f>
        <v>39.78</v>
      </c>
      <c r="K1035">
        <f>J1035</f>
        <v>39.78</v>
      </c>
    </row>
    <row r="1036" ht="15.75">
      <c r="C1036" s="503"/>
    </row>
    <row r="1037" spans="3:9" ht="15.75">
      <c r="C1037" s="503" t="s">
        <v>648</v>
      </c>
      <c r="D1037">
        <v>4</v>
      </c>
      <c r="E1037">
        <v>1</v>
      </c>
      <c r="F1037">
        <v>4</v>
      </c>
      <c r="G1037">
        <f>F1037*E1037*D1037</f>
        <v>16</v>
      </c>
      <c r="H1037">
        <v>1</v>
      </c>
      <c r="I1037">
        <f>H1037*G1037</f>
        <v>16</v>
      </c>
    </row>
    <row r="1038" spans="4:9" ht="15.75">
      <c r="D1038">
        <v>2.95</v>
      </c>
      <c r="E1038">
        <v>1</v>
      </c>
      <c r="F1038">
        <v>4</v>
      </c>
      <c r="G1038">
        <f>F1038*E1038*D1038</f>
        <v>11.8</v>
      </c>
      <c r="H1038">
        <v>1</v>
      </c>
      <c r="I1038">
        <f>H1038*G1038</f>
        <v>11.8</v>
      </c>
    </row>
    <row r="1039" spans="4:11" ht="15.75">
      <c r="D1039">
        <v>1.8</v>
      </c>
      <c r="E1039">
        <v>1</v>
      </c>
      <c r="F1039">
        <v>8</v>
      </c>
      <c r="G1039">
        <f>F1039*E1039*D1039</f>
        <v>14.4</v>
      </c>
      <c r="H1039">
        <v>1</v>
      </c>
      <c r="I1039">
        <f>H1039*G1039</f>
        <v>14.4</v>
      </c>
      <c r="J1039">
        <f>SUM(I1037:I1039)</f>
        <v>42.2</v>
      </c>
      <c r="K1039">
        <f>J1039</f>
        <v>42.2</v>
      </c>
    </row>
    <row r="1041" ht="15.75">
      <c r="C1041" s="503" t="s">
        <v>385</v>
      </c>
    </row>
    <row r="1042" spans="3:9" ht="15.75">
      <c r="C1042" s="519" t="s">
        <v>656</v>
      </c>
      <c r="D1042">
        <v>4</v>
      </c>
      <c r="E1042">
        <v>4</v>
      </c>
      <c r="F1042">
        <v>1</v>
      </c>
      <c r="G1042">
        <f aca="true" t="shared" si="83" ref="G1042:G1050">F1042*E1042*D1042</f>
        <v>16</v>
      </c>
      <c r="H1042">
        <v>1</v>
      </c>
      <c r="I1042">
        <f aca="true" t="shared" si="84" ref="I1042:I1050">H1042*G1042</f>
        <v>16</v>
      </c>
    </row>
    <row r="1043" spans="4:9" ht="15.75">
      <c r="D1043">
        <v>2</v>
      </c>
      <c r="E1043">
        <v>1</v>
      </c>
      <c r="F1043">
        <v>1</v>
      </c>
      <c r="G1043">
        <f t="shared" si="83"/>
        <v>2</v>
      </c>
      <c r="H1043">
        <v>1</v>
      </c>
      <c r="I1043">
        <f t="shared" si="84"/>
        <v>2</v>
      </c>
    </row>
    <row r="1044" spans="4:9" ht="15.75">
      <c r="D1044">
        <v>5</v>
      </c>
      <c r="E1044">
        <v>1</v>
      </c>
      <c r="F1044">
        <v>1</v>
      </c>
      <c r="G1044">
        <f t="shared" si="83"/>
        <v>5</v>
      </c>
      <c r="H1044">
        <v>1</v>
      </c>
      <c r="I1044">
        <f t="shared" si="84"/>
        <v>5</v>
      </c>
    </row>
    <row r="1045" spans="4:9" ht="15.75">
      <c r="D1045">
        <v>3</v>
      </c>
      <c r="E1045">
        <v>1</v>
      </c>
      <c r="F1045">
        <v>1</v>
      </c>
      <c r="G1045">
        <f t="shared" si="83"/>
        <v>3</v>
      </c>
      <c r="H1045">
        <v>1</v>
      </c>
      <c r="I1045">
        <f t="shared" si="84"/>
        <v>3</v>
      </c>
    </row>
    <row r="1046" spans="4:11" ht="15.75">
      <c r="D1046">
        <v>1</v>
      </c>
      <c r="E1046">
        <v>1</v>
      </c>
      <c r="F1046">
        <v>1</v>
      </c>
      <c r="G1046">
        <f t="shared" si="83"/>
        <v>1</v>
      </c>
      <c r="H1046">
        <v>2</v>
      </c>
      <c r="I1046">
        <f t="shared" si="84"/>
        <v>2</v>
      </c>
      <c r="J1046">
        <f>SUM(I1042:I1046)</f>
        <v>28</v>
      </c>
      <c r="K1046">
        <f>J1046</f>
        <v>28</v>
      </c>
    </row>
    <row r="1047" spans="3:11" ht="15.75">
      <c r="C1047" s="519" t="s">
        <v>657</v>
      </c>
      <c r="D1047" s="520">
        <v>2.95</v>
      </c>
      <c r="E1047" s="520">
        <v>1.8</v>
      </c>
      <c r="F1047">
        <v>1</v>
      </c>
      <c r="G1047">
        <f t="shared" si="83"/>
        <v>5.3100000000000005</v>
      </c>
      <c r="H1047">
        <v>2</v>
      </c>
      <c r="I1047">
        <f t="shared" si="84"/>
        <v>10.620000000000001</v>
      </c>
      <c r="J1047" s="520">
        <f>I1047</f>
        <v>10.620000000000001</v>
      </c>
      <c r="K1047" s="520">
        <f>J1047</f>
        <v>10.620000000000001</v>
      </c>
    </row>
    <row r="1048" spans="3:11" ht="15.75">
      <c r="C1048" s="519" t="s">
        <v>658</v>
      </c>
      <c r="D1048">
        <v>2.95</v>
      </c>
      <c r="E1048" s="520">
        <v>1.8</v>
      </c>
      <c r="F1048">
        <v>1</v>
      </c>
      <c r="G1048">
        <f t="shared" si="83"/>
        <v>5.3100000000000005</v>
      </c>
      <c r="H1048">
        <v>4</v>
      </c>
      <c r="I1048">
        <f t="shared" si="84"/>
        <v>21.240000000000002</v>
      </c>
      <c r="J1048" s="520"/>
      <c r="K1048" s="520"/>
    </row>
    <row r="1049" spans="4:11" ht="15.75">
      <c r="D1049">
        <v>1.8</v>
      </c>
      <c r="E1049" s="520">
        <v>1.8</v>
      </c>
      <c r="F1049">
        <v>1</v>
      </c>
      <c r="G1049">
        <f t="shared" si="83"/>
        <v>3.24</v>
      </c>
      <c r="H1049">
        <v>2</v>
      </c>
      <c r="I1049">
        <f t="shared" si="84"/>
        <v>6.48</v>
      </c>
      <c r="J1049" s="520"/>
      <c r="K1049" s="520"/>
    </row>
    <row r="1050" spans="4:11" ht="15.75">
      <c r="D1050">
        <v>1</v>
      </c>
      <c r="E1050" s="520">
        <v>1.8</v>
      </c>
      <c r="F1050">
        <v>1</v>
      </c>
      <c r="G1050">
        <f t="shared" si="83"/>
        <v>1.8</v>
      </c>
      <c r="H1050">
        <v>6</v>
      </c>
      <c r="I1050">
        <f t="shared" si="84"/>
        <v>10.8</v>
      </c>
      <c r="J1050" s="520">
        <f>SUM(I1048:I1050)</f>
        <v>38.52</v>
      </c>
      <c r="K1050" s="520">
        <f>J1050</f>
        <v>38.52</v>
      </c>
    </row>
    <row r="1052" ht="15.75">
      <c r="C1052" t="s">
        <v>649</v>
      </c>
    </row>
    <row r="1053" spans="4:9" ht="15.75">
      <c r="D1053">
        <v>0.3</v>
      </c>
      <c r="E1053">
        <v>2</v>
      </c>
      <c r="F1053">
        <v>1</v>
      </c>
      <c r="G1053">
        <f>F1053*E1053*D1053</f>
        <v>0.6</v>
      </c>
      <c r="H1053">
        <v>4</v>
      </c>
      <c r="I1053">
        <f>H1053*G1053</f>
        <v>2.4</v>
      </c>
    </row>
    <row r="1054" spans="4:9" ht="15.75">
      <c r="D1054">
        <v>0.3</v>
      </c>
      <c r="E1054">
        <v>2</v>
      </c>
      <c r="F1054">
        <v>1</v>
      </c>
      <c r="G1054">
        <f>F1054*E1054*D1054</f>
        <v>0.6</v>
      </c>
      <c r="H1054">
        <v>4</v>
      </c>
      <c r="I1054">
        <f>H1054*G1054</f>
        <v>2.4</v>
      </c>
    </row>
    <row r="1055" spans="4:9" ht="15.75">
      <c r="D1055">
        <v>0.3</v>
      </c>
      <c r="E1055">
        <v>2</v>
      </c>
      <c r="F1055">
        <v>1</v>
      </c>
      <c r="G1055">
        <f>F1055*E1055*D1055</f>
        <v>0.6</v>
      </c>
      <c r="H1055">
        <v>4</v>
      </c>
      <c r="I1055">
        <f>H1055*G1055</f>
        <v>2.4</v>
      </c>
    </row>
    <row r="1056" spans="4:11" ht="15.75">
      <c r="D1056">
        <v>0.3</v>
      </c>
      <c r="E1056">
        <v>2</v>
      </c>
      <c r="F1056">
        <v>1</v>
      </c>
      <c r="G1056">
        <f>F1056*E1056*D1056</f>
        <v>0.6</v>
      </c>
      <c r="H1056">
        <v>4</v>
      </c>
      <c r="I1056">
        <f>H1056*G1056</f>
        <v>2.4</v>
      </c>
      <c r="J1056">
        <f>SUM(I1053:I1056)</f>
        <v>9.6</v>
      </c>
      <c r="K1056">
        <f>J1056</f>
        <v>9.6</v>
      </c>
    </row>
    <row r="1058" ht="16.5" thickBot="1"/>
    <row r="1059" spans="3:11" ht="16.5" thickTop="1">
      <c r="C1059" s="304"/>
      <c r="D1059" s="1100" t="s">
        <v>319</v>
      </c>
      <c r="E1059" s="1101"/>
      <c r="F1059" s="1101"/>
      <c r="G1059" s="1102" t="s">
        <v>272</v>
      </c>
      <c r="H1059" s="1103"/>
      <c r="I1059" s="1103"/>
      <c r="J1059" s="1103"/>
      <c r="K1059" s="305"/>
    </row>
    <row r="1060" spans="3:11" ht="15.75">
      <c r="C1060" s="306" t="s">
        <v>323</v>
      </c>
      <c r="D1060" s="307"/>
      <c r="E1060" s="210" t="s">
        <v>324</v>
      </c>
      <c r="F1060" s="209" t="s">
        <v>188</v>
      </c>
      <c r="G1060" s="238" t="s">
        <v>326</v>
      </c>
      <c r="H1060" s="238" t="s">
        <v>327</v>
      </c>
      <c r="I1060" s="308" t="s">
        <v>328</v>
      </c>
      <c r="J1060" s="1104" t="s">
        <v>328</v>
      </c>
      <c r="K1060" s="1105"/>
    </row>
    <row r="1061" spans="3:11" ht="16.5" thickBot="1">
      <c r="C1061" s="310"/>
      <c r="D1061" s="311"/>
      <c r="E1061" s="311" t="s">
        <v>335</v>
      </c>
      <c r="F1061" s="312" t="s">
        <v>335</v>
      </c>
      <c r="G1061" s="251">
        <v>1</v>
      </c>
      <c r="H1061" s="251" t="s">
        <v>326</v>
      </c>
      <c r="I1061" s="313" t="s">
        <v>389</v>
      </c>
      <c r="J1061" s="314"/>
      <c r="K1061" s="315"/>
    </row>
    <row r="1062" spans="3:11" ht="16.5" thickTop="1">
      <c r="C1062" s="317" t="s">
        <v>261</v>
      </c>
      <c r="D1062" s="318" t="s">
        <v>262</v>
      </c>
      <c r="E1062" s="319" t="s">
        <v>263</v>
      </c>
      <c r="F1062" s="320" t="s">
        <v>264</v>
      </c>
      <c r="G1062" s="319" t="s">
        <v>384</v>
      </c>
      <c r="H1062" s="319" t="s">
        <v>266</v>
      </c>
      <c r="I1062" s="320" t="s">
        <v>373</v>
      </c>
      <c r="J1062" s="320" t="s">
        <v>390</v>
      </c>
      <c r="K1062" s="321"/>
    </row>
    <row r="1063" spans="3:11" ht="15.75">
      <c r="C1063" s="69"/>
      <c r="D1063" s="66"/>
      <c r="E1063" s="165"/>
      <c r="F1063" s="75"/>
      <c r="G1063" s="165"/>
      <c r="H1063" s="165"/>
      <c r="I1063" s="75"/>
      <c r="J1063" s="75"/>
      <c r="K1063" s="346"/>
    </row>
    <row r="1064" spans="3:11" ht="15.75">
      <c r="C1064" s="494" t="s">
        <v>652</v>
      </c>
      <c r="D1064" s="66"/>
      <c r="E1064" s="165"/>
      <c r="F1064" s="75"/>
      <c r="G1064" s="165"/>
      <c r="H1064" s="258"/>
      <c r="I1064" s="75"/>
      <c r="J1064" s="75"/>
      <c r="K1064" s="346"/>
    </row>
    <row r="1065" spans="3:11" ht="15.75">
      <c r="C1065" s="69" t="s">
        <v>532</v>
      </c>
      <c r="D1065" s="66"/>
      <c r="E1065" s="165"/>
      <c r="F1065" s="75"/>
      <c r="G1065" s="165">
        <f aca="true" t="shared" si="85" ref="G1065:G1070">F1065*E1065</f>
        <v>0</v>
      </c>
      <c r="H1065" s="258"/>
      <c r="I1065" s="75">
        <f aca="true" t="shared" si="86" ref="I1065:I1070">H1065*G1065</f>
        <v>0</v>
      </c>
      <c r="J1065" s="75">
        <f aca="true" t="shared" si="87" ref="J1065:J1070">I1065</f>
        <v>0</v>
      </c>
      <c r="K1065" s="346"/>
    </row>
    <row r="1066" spans="3:11" ht="15.75">
      <c r="C1066" s="325" t="s">
        <v>533</v>
      </c>
      <c r="D1066" s="66"/>
      <c r="E1066" s="258">
        <v>1</v>
      </c>
      <c r="F1066" s="258">
        <v>1</v>
      </c>
      <c r="G1066" s="258">
        <f t="shared" si="85"/>
        <v>1</v>
      </c>
      <c r="H1066" s="258">
        <v>2</v>
      </c>
      <c r="I1066" s="258">
        <f t="shared" si="86"/>
        <v>2</v>
      </c>
      <c r="J1066" s="258">
        <f t="shared" si="87"/>
        <v>2</v>
      </c>
      <c r="K1066" s="346"/>
    </row>
    <row r="1067" spans="3:11" ht="15.75">
      <c r="C1067" s="325" t="s">
        <v>74</v>
      </c>
      <c r="D1067" s="66"/>
      <c r="E1067" s="165">
        <f>2.04-0.16</f>
        <v>1.8800000000000001</v>
      </c>
      <c r="F1067" s="75">
        <v>0.64</v>
      </c>
      <c r="G1067" s="165">
        <f t="shared" si="85"/>
        <v>1.2032</v>
      </c>
      <c r="H1067" s="258">
        <v>1</v>
      </c>
      <c r="I1067" s="75">
        <f t="shared" si="86"/>
        <v>1.2032</v>
      </c>
      <c r="J1067" s="75">
        <f t="shared" si="87"/>
        <v>1.2032</v>
      </c>
      <c r="K1067" s="346"/>
    </row>
    <row r="1068" spans="3:11" ht="15.75">
      <c r="C1068" s="325" t="s">
        <v>653</v>
      </c>
      <c r="D1068" s="66"/>
      <c r="E1068" s="165">
        <v>1</v>
      </c>
      <c r="F1068" s="75">
        <v>1</v>
      </c>
      <c r="G1068" s="165">
        <f t="shared" si="85"/>
        <v>1</v>
      </c>
      <c r="H1068" s="258">
        <v>2</v>
      </c>
      <c r="I1068" s="75">
        <f t="shared" si="86"/>
        <v>2</v>
      </c>
      <c r="J1068" s="75">
        <f t="shared" si="87"/>
        <v>2</v>
      </c>
      <c r="K1068" s="346"/>
    </row>
    <row r="1069" spans="3:11" ht="15.75">
      <c r="C1069" s="325" t="s">
        <v>395</v>
      </c>
      <c r="D1069" s="66"/>
      <c r="E1069" s="165">
        <f>0.12*0.2</f>
        <v>0.024</v>
      </c>
      <c r="F1069" s="75">
        <v>2</v>
      </c>
      <c r="G1069" s="165">
        <f t="shared" si="85"/>
        <v>0.048</v>
      </c>
      <c r="H1069" s="258">
        <v>1</v>
      </c>
      <c r="I1069" s="75">
        <f t="shared" si="86"/>
        <v>0.048</v>
      </c>
      <c r="J1069" s="75">
        <f t="shared" si="87"/>
        <v>0.048</v>
      </c>
      <c r="K1069" s="346"/>
    </row>
    <row r="1070" spans="3:11" ht="15.75">
      <c r="C1070" s="325" t="s">
        <v>531</v>
      </c>
      <c r="D1070" s="66"/>
      <c r="E1070" s="165">
        <v>2.1</v>
      </c>
      <c r="F1070" s="75">
        <v>2</v>
      </c>
      <c r="G1070" s="165">
        <f t="shared" si="85"/>
        <v>4.2</v>
      </c>
      <c r="H1070" s="258">
        <v>1</v>
      </c>
      <c r="I1070" s="75">
        <f t="shared" si="86"/>
        <v>4.2</v>
      </c>
      <c r="J1070" s="75">
        <f t="shared" si="87"/>
        <v>4.2</v>
      </c>
      <c r="K1070" s="346"/>
    </row>
    <row r="1071" spans="3:11" ht="15.75">
      <c r="C1071" s="325"/>
      <c r="D1071" s="66"/>
      <c r="E1071" s="165"/>
      <c r="F1071" s="75"/>
      <c r="G1071" s="165"/>
      <c r="H1071" s="258"/>
      <c r="I1071" s="75"/>
      <c r="J1071" s="75"/>
      <c r="K1071" s="346"/>
    </row>
    <row r="1072" spans="3:11" ht="15.75">
      <c r="C1072" s="426"/>
      <c r="D1072" s="471"/>
      <c r="E1072" s="230"/>
      <c r="F1072" s="257"/>
      <c r="G1072" s="230"/>
      <c r="H1072" s="257"/>
      <c r="I1072" s="257"/>
      <c r="J1072" s="257"/>
      <c r="K1072" s="352"/>
    </row>
    <row r="1073" spans="3:11" ht="15.75">
      <c r="C1073" s="494" t="s">
        <v>475</v>
      </c>
      <c r="D1073" s="66"/>
      <c r="E1073" s="165"/>
      <c r="F1073" s="75"/>
      <c r="G1073" s="165"/>
      <c r="H1073" s="258"/>
      <c r="I1073" s="75"/>
      <c r="J1073" s="75"/>
      <c r="K1073" s="346"/>
    </row>
    <row r="1074" spans="3:11" ht="15.75">
      <c r="C1074" s="69" t="s">
        <v>532</v>
      </c>
      <c r="D1074" s="66"/>
      <c r="E1074" s="165">
        <f>2.1*2</f>
        <v>4.2</v>
      </c>
      <c r="F1074" s="75">
        <v>0.92</v>
      </c>
      <c r="G1074" s="165">
        <f>F1074+E1074</f>
        <v>5.12</v>
      </c>
      <c r="H1074" s="258">
        <v>1</v>
      </c>
      <c r="I1074" s="75">
        <f>H1074*G1074</f>
        <v>5.12</v>
      </c>
      <c r="J1074" s="75">
        <f>I1074</f>
        <v>5.12</v>
      </c>
      <c r="K1074" s="346"/>
    </row>
    <row r="1075" spans="3:11" ht="15.75">
      <c r="C1075" s="325" t="s">
        <v>533</v>
      </c>
      <c r="D1075" s="66"/>
      <c r="E1075" s="258"/>
      <c r="F1075" s="258"/>
      <c r="G1075" s="258"/>
      <c r="H1075" s="258"/>
      <c r="I1075" s="258"/>
      <c r="J1075" s="258"/>
      <c r="K1075" s="346"/>
    </row>
    <row r="1076" spans="3:11" ht="15.75">
      <c r="C1076" s="325" t="s">
        <v>597</v>
      </c>
      <c r="D1076" s="66"/>
      <c r="E1076" s="258">
        <v>2.1</v>
      </c>
      <c r="F1076" s="492">
        <v>0.8</v>
      </c>
      <c r="G1076" s="258">
        <f aca="true" t="shared" si="88" ref="G1076:G1081">F1076*E1076</f>
        <v>1.6800000000000002</v>
      </c>
      <c r="H1076" s="258">
        <v>1</v>
      </c>
      <c r="I1076" s="492">
        <f aca="true" t="shared" si="89" ref="I1076:I1081">H1076*G1076</f>
        <v>1.6800000000000002</v>
      </c>
      <c r="J1076" s="492">
        <f aca="true" t="shared" si="90" ref="J1076:J1081">I1076</f>
        <v>1.6800000000000002</v>
      </c>
      <c r="K1076" s="346"/>
    </row>
    <row r="1077" spans="3:11" ht="15.75">
      <c r="C1077" s="325" t="s">
        <v>530</v>
      </c>
      <c r="D1077" s="66"/>
      <c r="E1077" s="258">
        <v>1</v>
      </c>
      <c r="F1077" s="258">
        <v>1</v>
      </c>
      <c r="G1077" s="258">
        <f t="shared" si="88"/>
        <v>1</v>
      </c>
      <c r="H1077" s="258">
        <v>1</v>
      </c>
      <c r="I1077" s="258">
        <f t="shared" si="89"/>
        <v>1</v>
      </c>
      <c r="J1077" s="258">
        <f t="shared" si="90"/>
        <v>1</v>
      </c>
      <c r="K1077" s="346"/>
    </row>
    <row r="1078" spans="3:11" ht="15.75">
      <c r="C1078" s="325" t="s">
        <v>599</v>
      </c>
      <c r="D1078" s="66"/>
      <c r="E1078" s="258">
        <v>3</v>
      </c>
      <c r="F1078" s="258">
        <v>1</v>
      </c>
      <c r="G1078" s="258">
        <f t="shared" si="88"/>
        <v>3</v>
      </c>
      <c r="H1078" s="258">
        <v>1</v>
      </c>
      <c r="I1078" s="258">
        <f t="shared" si="89"/>
        <v>3</v>
      </c>
      <c r="J1078" s="258">
        <f t="shared" si="90"/>
        <v>3</v>
      </c>
      <c r="K1078" s="346"/>
    </row>
    <row r="1079" spans="3:11" ht="15.75">
      <c r="C1079" s="325" t="s">
        <v>595</v>
      </c>
      <c r="D1079" s="66"/>
      <c r="E1079" s="165">
        <f>G1076</f>
        <v>1.6800000000000002</v>
      </c>
      <c r="F1079" s="75">
        <v>2</v>
      </c>
      <c r="G1079" s="258">
        <f t="shared" si="88"/>
        <v>3.3600000000000003</v>
      </c>
      <c r="H1079" s="258">
        <v>1</v>
      </c>
      <c r="I1079" s="492">
        <f t="shared" si="89"/>
        <v>3.3600000000000003</v>
      </c>
      <c r="J1079" s="492">
        <f t="shared" si="90"/>
        <v>3.3600000000000003</v>
      </c>
      <c r="K1079" s="346"/>
    </row>
    <row r="1080" spans="3:11" ht="15.75">
      <c r="C1080" s="325" t="s">
        <v>395</v>
      </c>
      <c r="D1080" s="66"/>
      <c r="E1080" s="165">
        <f>0.12*0.2</f>
        <v>0.024</v>
      </c>
      <c r="F1080" s="75">
        <v>1</v>
      </c>
      <c r="G1080" s="165">
        <f t="shared" si="88"/>
        <v>0.024</v>
      </c>
      <c r="H1080" s="258">
        <v>1</v>
      </c>
      <c r="I1080" s="75">
        <f t="shared" si="89"/>
        <v>0.024</v>
      </c>
      <c r="J1080" s="75">
        <f t="shared" si="90"/>
        <v>0.024</v>
      </c>
      <c r="K1080" s="346"/>
    </row>
    <row r="1081" spans="3:11" ht="15.75">
      <c r="C1081" s="325" t="s">
        <v>531</v>
      </c>
      <c r="D1081" s="66"/>
      <c r="E1081" s="165">
        <v>2.1</v>
      </c>
      <c r="F1081" s="75">
        <v>0.9</v>
      </c>
      <c r="G1081" s="165">
        <f t="shared" si="88"/>
        <v>1.8900000000000001</v>
      </c>
      <c r="H1081" s="258">
        <v>1</v>
      </c>
      <c r="I1081" s="75">
        <f t="shared" si="89"/>
        <v>1.8900000000000001</v>
      </c>
      <c r="J1081" s="75">
        <f t="shared" si="90"/>
        <v>1.8900000000000001</v>
      </c>
      <c r="K1081" s="346"/>
    </row>
    <row r="1082" spans="3:11" ht="15.75">
      <c r="C1082" s="327"/>
      <c r="D1082" s="472"/>
      <c r="E1082" s="232"/>
      <c r="F1082" s="473"/>
      <c r="G1082" s="232"/>
      <c r="H1082" s="473"/>
      <c r="I1082" s="473"/>
      <c r="J1082" s="473"/>
      <c r="K1082" s="368"/>
    </row>
    <row r="1083" spans="3:11" ht="15.75">
      <c r="C1083" s="325"/>
      <c r="D1083" s="66"/>
      <c r="E1083" s="165"/>
      <c r="F1083" s="75"/>
      <c r="G1083" s="165"/>
      <c r="H1083" s="258"/>
      <c r="I1083" s="75"/>
      <c r="J1083" s="75"/>
      <c r="K1083" s="346"/>
    </row>
    <row r="1084" spans="3:11" ht="15.75">
      <c r="C1084" s="325"/>
      <c r="D1084" s="66"/>
      <c r="E1084" s="165"/>
      <c r="F1084" s="75"/>
      <c r="G1084" s="165"/>
      <c r="H1084" s="258"/>
      <c r="I1084" s="75"/>
      <c r="J1084" s="75"/>
      <c r="K1084" s="346"/>
    </row>
    <row r="1085" spans="3:11" ht="15.75">
      <c r="C1085" s="325"/>
      <c r="D1085" s="66"/>
      <c r="E1085" s="165"/>
      <c r="F1085" s="75"/>
      <c r="G1085" s="165"/>
      <c r="H1085" s="258"/>
      <c r="I1085" s="75"/>
      <c r="J1085" s="75"/>
      <c r="K1085" s="346"/>
    </row>
    <row r="1086" spans="3:11" ht="15.75">
      <c r="C1086" s="325"/>
      <c r="D1086" s="66"/>
      <c r="E1086" s="165"/>
      <c r="F1086" s="75"/>
      <c r="G1086" s="165"/>
      <c r="H1086" s="258"/>
      <c r="I1086" s="75"/>
      <c r="J1086" s="75"/>
      <c r="K1086" s="346"/>
    </row>
    <row r="1087" spans="3:11" ht="16.5" thickBot="1">
      <c r="C1087" s="515"/>
      <c r="D1087" s="516"/>
      <c r="E1087" s="170"/>
      <c r="F1087" s="171"/>
      <c r="G1087" s="170"/>
      <c r="H1087" s="286"/>
      <c r="I1087" s="171">
        <f>H1087*G1087</f>
        <v>0</v>
      </c>
      <c r="J1087" s="171"/>
      <c r="K1087" s="363"/>
    </row>
    <row r="1088" ht="16.5" thickTop="1"/>
    <row r="1089" spans="2:18" ht="16.5" thickBot="1">
      <c r="B1089" s="513"/>
      <c r="C1089" s="513"/>
      <c r="D1089" s="513"/>
      <c r="E1089" s="513"/>
      <c r="F1089" s="513"/>
      <c r="G1089" s="513"/>
      <c r="H1089" s="513"/>
      <c r="I1089" s="513"/>
      <c r="J1089" s="513"/>
      <c r="K1089" s="513"/>
      <c r="L1089" s="513"/>
      <c r="M1089" s="513"/>
      <c r="N1089" s="513"/>
      <c r="O1089" s="513"/>
      <c r="P1089" s="513"/>
      <c r="Q1089" s="513"/>
      <c r="R1089" s="513"/>
    </row>
    <row r="1090" spans="2:18" ht="16.5" thickTop="1">
      <c r="B1090" s="514"/>
      <c r="C1090" s="514"/>
      <c r="D1090" s="514"/>
      <c r="E1090" s="514"/>
      <c r="F1090" s="514"/>
      <c r="G1090" s="514"/>
      <c r="H1090" s="514"/>
      <c r="I1090" s="514"/>
      <c r="J1090" s="514"/>
      <c r="K1090" s="514"/>
      <c r="L1090" s="514"/>
      <c r="M1090" s="514"/>
      <c r="N1090" s="514"/>
      <c r="O1090" s="514"/>
      <c r="P1090" s="514"/>
      <c r="Q1090" s="514"/>
      <c r="R1090" s="514"/>
    </row>
    <row r="1092" ht="15.75">
      <c r="C1092" s="503" t="s">
        <v>661</v>
      </c>
    </row>
    <row r="1093" ht="15.75">
      <c r="C1093" s="503" t="s">
        <v>664</v>
      </c>
    </row>
    <row r="1094" spans="3:10" ht="15.75">
      <c r="C1094" t="s">
        <v>459</v>
      </c>
      <c r="D1094">
        <v>2.4</v>
      </c>
      <c r="E1094">
        <v>2</v>
      </c>
      <c r="F1094">
        <v>1</v>
      </c>
      <c r="G1094">
        <f>F1094*E1094*D1094</f>
        <v>4.8</v>
      </c>
      <c r="H1094">
        <v>2</v>
      </c>
      <c r="I1094">
        <f>H1094*G1094</f>
        <v>9.6</v>
      </c>
      <c r="J1094">
        <f>I1094</f>
        <v>9.6</v>
      </c>
    </row>
    <row r="1095" spans="3:10" ht="15.75">
      <c r="C1095" t="s">
        <v>438</v>
      </c>
      <c r="D1095">
        <v>0.2</v>
      </c>
      <c r="E1095">
        <v>1.8</v>
      </c>
      <c r="F1095">
        <v>1</v>
      </c>
      <c r="G1095">
        <f>F1095*E1095*D1095</f>
        <v>0.36000000000000004</v>
      </c>
      <c r="H1095">
        <v>2</v>
      </c>
      <c r="I1095">
        <f>H1095*G1095</f>
        <v>0.7200000000000001</v>
      </c>
      <c r="J1095">
        <f>I1095</f>
        <v>0.7200000000000001</v>
      </c>
    </row>
    <row r="1096" spans="3:9" ht="15.75">
      <c r="C1096" t="s">
        <v>662</v>
      </c>
      <c r="D1096">
        <v>0.6</v>
      </c>
      <c r="E1096">
        <v>1.8</v>
      </c>
      <c r="F1096">
        <v>2</v>
      </c>
      <c r="G1096">
        <f>(D1096+E1096)/2*F1096</f>
        <v>2.4</v>
      </c>
      <c r="H1096">
        <v>2</v>
      </c>
      <c r="I1096">
        <f>H1096*G1096</f>
        <v>4.8</v>
      </c>
    </row>
    <row r="1097" spans="4:10" ht="15.75">
      <c r="D1097">
        <v>1.8</v>
      </c>
      <c r="E1097">
        <v>1.8</v>
      </c>
      <c r="F1097">
        <v>0.8</v>
      </c>
      <c r="G1097">
        <f>(D1097+E1097)/2*F1097</f>
        <v>1.4400000000000002</v>
      </c>
      <c r="H1097">
        <v>2</v>
      </c>
      <c r="I1097">
        <f>H1097*G1097</f>
        <v>2.8800000000000003</v>
      </c>
      <c r="J1097">
        <f>SUM(I1096:I1097)</f>
        <v>7.68</v>
      </c>
    </row>
    <row r="1098" spans="3:10" ht="15.75">
      <c r="C1098" t="s">
        <v>663</v>
      </c>
      <c r="D1098">
        <v>2.4</v>
      </c>
      <c r="E1098">
        <v>0.8</v>
      </c>
      <c r="F1098">
        <v>1</v>
      </c>
      <c r="G1098">
        <f>E1098+D1098</f>
        <v>3.2</v>
      </c>
      <c r="H1098">
        <v>2</v>
      </c>
      <c r="I1098">
        <f>H1098*G1098</f>
        <v>6.4</v>
      </c>
      <c r="J1098">
        <f>I1098</f>
        <v>6.4</v>
      </c>
    </row>
    <row r="1099" spans="3:11" ht="15.75">
      <c r="C1099" s="329"/>
      <c r="D1099" s="329"/>
      <c r="E1099" s="329"/>
      <c r="F1099" s="329"/>
      <c r="G1099" s="329"/>
      <c r="H1099" s="329"/>
      <c r="I1099" s="329"/>
      <c r="J1099" s="329"/>
      <c r="K1099" s="329"/>
    </row>
    <row r="1100" spans="3:11" ht="15.75">
      <c r="C1100" s="324"/>
      <c r="D1100" s="324"/>
      <c r="E1100" s="324"/>
      <c r="F1100" s="324"/>
      <c r="G1100" s="324"/>
      <c r="H1100" s="324"/>
      <c r="I1100" s="324"/>
      <c r="J1100" s="324"/>
      <c r="K1100" s="324"/>
    </row>
    <row r="1101" ht="15.75">
      <c r="C1101" s="503" t="s">
        <v>665</v>
      </c>
    </row>
    <row r="1102" ht="15.75">
      <c r="C1102" s="503" t="s">
        <v>666</v>
      </c>
    </row>
    <row r="1103" spans="3:10" ht="15.75">
      <c r="C1103" t="s">
        <v>459</v>
      </c>
      <c r="D1103">
        <v>1</v>
      </c>
      <c r="E1103">
        <v>1</v>
      </c>
      <c r="F1103">
        <v>1</v>
      </c>
      <c r="G1103">
        <f>F1103*E1103*D1103</f>
        <v>1</v>
      </c>
      <c r="H1103">
        <v>2</v>
      </c>
      <c r="I1103">
        <f>H1103*G1103</f>
        <v>2</v>
      </c>
      <c r="J1103">
        <f>I1103</f>
        <v>2</v>
      </c>
    </row>
    <row r="1104" spans="3:10" ht="15.75">
      <c r="C1104" t="s">
        <v>438</v>
      </c>
      <c r="D1104">
        <v>0.1</v>
      </c>
      <c r="E1104">
        <v>0.9</v>
      </c>
      <c r="F1104">
        <v>1</v>
      </c>
      <c r="G1104">
        <f>F1104*E1104*D1104</f>
        <v>0.09000000000000001</v>
      </c>
      <c r="H1104">
        <v>2</v>
      </c>
      <c r="I1104">
        <f>H1104*G1104</f>
        <v>0.18000000000000002</v>
      </c>
      <c r="J1104">
        <f>I1104</f>
        <v>0.18000000000000002</v>
      </c>
    </row>
    <row r="1105" spans="3:9" ht="15.75">
      <c r="C1105" t="s">
        <v>662</v>
      </c>
      <c r="D1105">
        <v>0.3</v>
      </c>
      <c r="E1105">
        <v>0.9</v>
      </c>
      <c r="F1105">
        <v>1.5</v>
      </c>
      <c r="G1105">
        <f>(D1105+E1105)/2*F1105</f>
        <v>0.8999999999999999</v>
      </c>
      <c r="H1105">
        <v>2</v>
      </c>
      <c r="I1105">
        <f>H1105*G1105</f>
        <v>1.7999999999999998</v>
      </c>
    </row>
    <row r="1106" spans="4:10" ht="15.75">
      <c r="D1106">
        <v>0.9</v>
      </c>
      <c r="E1106">
        <v>0.9</v>
      </c>
      <c r="F1106">
        <v>0.4</v>
      </c>
      <c r="G1106">
        <f>(D1106+E1106)/2*F1106</f>
        <v>0.36000000000000004</v>
      </c>
      <c r="H1106">
        <v>2</v>
      </c>
      <c r="I1106">
        <f>H1106*G1106</f>
        <v>0.7200000000000001</v>
      </c>
      <c r="J1106">
        <f>SUM(I1105:I1106)</f>
        <v>2.52</v>
      </c>
    </row>
    <row r="1107" spans="3:10" ht="15.75">
      <c r="C1107" t="s">
        <v>663</v>
      </c>
      <c r="D1107">
        <v>1.5</v>
      </c>
      <c r="E1107">
        <v>0.6</v>
      </c>
      <c r="F1107">
        <v>1</v>
      </c>
      <c r="G1107">
        <f>E1107+D1107</f>
        <v>2.1</v>
      </c>
      <c r="H1107">
        <v>2</v>
      </c>
      <c r="I1107">
        <f>H1107*G1107</f>
        <v>4.2</v>
      </c>
      <c r="J1107">
        <f>I1107</f>
        <v>4.2</v>
      </c>
    </row>
    <row r="1109" ht="15.75">
      <c r="C1109" s="503" t="s">
        <v>667</v>
      </c>
    </row>
    <row r="1110" spans="3:10" ht="15.75">
      <c r="C1110" t="s">
        <v>459</v>
      </c>
      <c r="D1110">
        <v>1.2</v>
      </c>
      <c r="E1110">
        <v>1.2</v>
      </c>
      <c r="F1110">
        <v>1</v>
      </c>
      <c r="G1110">
        <f>F1110*E1110*D1110</f>
        <v>1.44</v>
      </c>
      <c r="H1110">
        <v>2</v>
      </c>
      <c r="I1110">
        <f>H1110*G1110</f>
        <v>2.88</v>
      </c>
      <c r="J1110">
        <f>I1110</f>
        <v>2.88</v>
      </c>
    </row>
    <row r="1111" spans="3:10" ht="15.75">
      <c r="C1111" t="s">
        <v>438</v>
      </c>
      <c r="D1111">
        <v>0.1</v>
      </c>
      <c r="E1111">
        <v>1</v>
      </c>
      <c r="F1111">
        <v>1</v>
      </c>
      <c r="G1111">
        <f>F1111*E1111*D1111</f>
        <v>0.1</v>
      </c>
      <c r="H1111">
        <v>2</v>
      </c>
      <c r="I1111">
        <f>H1111*G1111</f>
        <v>0.2</v>
      </c>
      <c r="J1111">
        <f>I1111</f>
        <v>0.2</v>
      </c>
    </row>
    <row r="1112" spans="3:9" ht="15.75">
      <c r="C1112" t="s">
        <v>662</v>
      </c>
      <c r="D1112">
        <v>0.6</v>
      </c>
      <c r="E1112">
        <v>1</v>
      </c>
      <c r="F1112">
        <v>1.5</v>
      </c>
      <c r="G1112">
        <f>(D1112+E1112)/2*F1112</f>
        <v>1.2000000000000002</v>
      </c>
      <c r="H1112">
        <v>2</v>
      </c>
      <c r="I1112">
        <f>H1112*G1112</f>
        <v>2.4000000000000004</v>
      </c>
    </row>
    <row r="1113" spans="4:10" ht="15.75">
      <c r="D1113">
        <v>1</v>
      </c>
      <c r="E1113">
        <v>1</v>
      </c>
      <c r="F1113">
        <v>0.4</v>
      </c>
      <c r="G1113">
        <f>(D1113+E1113)/2*F1113</f>
        <v>0.4</v>
      </c>
      <c r="H1113">
        <v>2</v>
      </c>
      <c r="I1113">
        <f>H1113*G1113</f>
        <v>0.8</v>
      </c>
      <c r="J1113">
        <f>SUM(I1112:I1113)</f>
        <v>3.2</v>
      </c>
    </row>
    <row r="1114" spans="3:10" ht="15.75">
      <c r="C1114" t="s">
        <v>663</v>
      </c>
      <c r="D1114">
        <v>1.5</v>
      </c>
      <c r="E1114">
        <v>0.8</v>
      </c>
      <c r="F1114">
        <v>1</v>
      </c>
      <c r="G1114">
        <f>E1114+D1114</f>
        <v>2.3</v>
      </c>
      <c r="H1114">
        <v>2</v>
      </c>
      <c r="I1114">
        <f>H1114*G1114</f>
        <v>4.6</v>
      </c>
      <c r="J1114">
        <f>I1114</f>
        <v>4.6</v>
      </c>
    </row>
    <row r="1117" spans="3:21" ht="15.75">
      <c r="C1117" t="s">
        <v>668</v>
      </c>
      <c r="D1117">
        <v>1.6</v>
      </c>
      <c r="E1117">
        <v>0.2</v>
      </c>
      <c r="F1117">
        <v>1</v>
      </c>
      <c r="G1117">
        <f>F1117*E1117*D1117</f>
        <v>0.32000000000000006</v>
      </c>
      <c r="H1117">
        <v>1</v>
      </c>
      <c r="I1117">
        <f>H1117*G1117</f>
        <v>0.32000000000000006</v>
      </c>
      <c r="J1117">
        <f>I1117</f>
        <v>0.32000000000000006</v>
      </c>
      <c r="O1117" s="521">
        <f>100/15*4</f>
        <v>26.666666666666668</v>
      </c>
      <c r="T1117">
        <f>O1117/E1117</f>
        <v>133.33333333333334</v>
      </c>
      <c r="U1117" s="164">
        <f>ROUND(T1117/5+0.5,0)*5</f>
        <v>135</v>
      </c>
    </row>
    <row r="1119" spans="3:4" ht="15.75">
      <c r="C1119" t="s">
        <v>669</v>
      </c>
      <c r="D1119">
        <v>1.2</v>
      </c>
    </row>
    <row r="1121" spans="2:14" ht="16.5" thickBot="1">
      <c r="B1121" s="513"/>
      <c r="C1121" s="513"/>
      <c r="D1121" s="513"/>
      <c r="E1121" s="513"/>
      <c r="F1121" s="513"/>
      <c r="G1121" s="513"/>
      <c r="H1121" s="513"/>
      <c r="I1121" s="513"/>
      <c r="J1121" s="513"/>
      <c r="K1121" s="513"/>
      <c r="L1121" s="513"/>
      <c r="M1121" s="513"/>
      <c r="N1121" s="513"/>
    </row>
    <row r="1122" spans="2:14" ht="16.5" thickTop="1">
      <c r="B1122" s="514"/>
      <c r="C1122" s="514"/>
      <c r="D1122" s="514"/>
      <c r="E1122" s="514"/>
      <c r="F1122" s="514"/>
      <c r="G1122" s="514"/>
      <c r="H1122" s="514"/>
      <c r="I1122" s="514"/>
      <c r="J1122" s="514"/>
      <c r="K1122" s="514"/>
      <c r="L1122" s="514"/>
      <c r="M1122" s="514"/>
      <c r="N1122" s="514"/>
    </row>
    <row r="1124" ht="15.75">
      <c r="C1124" s="503" t="s">
        <v>676</v>
      </c>
    </row>
    <row r="1125" spans="3:9" ht="15.75">
      <c r="C1125" t="s">
        <v>347</v>
      </c>
      <c r="D1125">
        <v>3.96</v>
      </c>
      <c r="E1125">
        <v>0</v>
      </c>
      <c r="F1125">
        <v>40.8</v>
      </c>
      <c r="G1125">
        <f>(D1125+E1125)/2*F1125</f>
        <v>80.78399999999999</v>
      </c>
      <c r="H1125">
        <v>1</v>
      </c>
      <c r="I1125">
        <f>H1125*G1125</f>
        <v>80.78399999999999</v>
      </c>
    </row>
    <row r="1126" spans="4:10" ht="15.75">
      <c r="D1126">
        <v>40.8</v>
      </c>
      <c r="E1126">
        <v>43.09</v>
      </c>
      <c r="F1126">
        <v>81.06</v>
      </c>
      <c r="G1126">
        <f>(D1126+E1126)/2*F1126</f>
        <v>3400.0617</v>
      </c>
      <c r="H1126">
        <v>1</v>
      </c>
      <c r="I1126">
        <f>H1126*G1126</f>
        <v>3400.0617</v>
      </c>
      <c r="J1126">
        <f>SUM(I1125:I1126)</f>
        <v>3480.8457000000003</v>
      </c>
    </row>
    <row r="1129" ht="15.75">
      <c r="C1129" s="503" t="s">
        <v>679</v>
      </c>
    </row>
    <row r="1130" spans="3:9" ht="15.75">
      <c r="C1130" t="s">
        <v>681</v>
      </c>
      <c r="D1130">
        <v>4.8</v>
      </c>
      <c r="E1130">
        <v>4.8</v>
      </c>
      <c r="F1130">
        <v>19</v>
      </c>
      <c r="G1130">
        <f aca="true" t="shared" si="91" ref="G1130:G1137">(D1130+E1130)/2*F1130</f>
        <v>91.2</v>
      </c>
      <c r="H1130">
        <v>1</v>
      </c>
      <c r="I1130">
        <f>H1130*G1130</f>
        <v>91.2</v>
      </c>
    </row>
    <row r="1131" spans="3:9" ht="15.75">
      <c r="C1131" s="124" t="s">
        <v>219</v>
      </c>
      <c r="D1131">
        <v>5</v>
      </c>
      <c r="E1131">
        <v>5</v>
      </c>
      <c r="F1131">
        <v>44</v>
      </c>
      <c r="G1131">
        <f t="shared" si="91"/>
        <v>220</v>
      </c>
      <c r="H1131">
        <v>1</v>
      </c>
      <c r="I1131">
        <f aca="true" t="shared" si="92" ref="I1131:I1139">H1131*G1131</f>
        <v>220</v>
      </c>
    </row>
    <row r="1132" spans="4:9" ht="15.75">
      <c r="D1132">
        <v>5</v>
      </c>
      <c r="E1132">
        <v>5</v>
      </c>
      <c r="F1132">
        <v>14</v>
      </c>
      <c r="G1132">
        <f t="shared" si="91"/>
        <v>70</v>
      </c>
      <c r="H1132">
        <v>1</v>
      </c>
      <c r="I1132">
        <f t="shared" si="92"/>
        <v>70</v>
      </c>
    </row>
    <row r="1133" spans="4:9" ht="15.75">
      <c r="D1133">
        <v>3.6</v>
      </c>
      <c r="E1133">
        <v>3.6</v>
      </c>
      <c r="F1133">
        <v>11.2</v>
      </c>
      <c r="G1133">
        <f t="shared" si="91"/>
        <v>40.32</v>
      </c>
      <c r="H1133">
        <v>1</v>
      </c>
      <c r="I1133">
        <f t="shared" si="92"/>
        <v>40.32</v>
      </c>
    </row>
    <row r="1134" spans="4:9" ht="15.75">
      <c r="D1134">
        <v>5</v>
      </c>
      <c r="E1134">
        <v>5</v>
      </c>
      <c r="F1134">
        <v>22</v>
      </c>
      <c r="G1134">
        <f t="shared" si="91"/>
        <v>110</v>
      </c>
      <c r="H1134">
        <v>1</v>
      </c>
      <c r="I1134">
        <f t="shared" si="92"/>
        <v>110</v>
      </c>
    </row>
    <row r="1135" spans="4:9" ht="15.75">
      <c r="D1135">
        <v>5</v>
      </c>
      <c r="E1135">
        <v>7.2</v>
      </c>
      <c r="F1135">
        <v>5</v>
      </c>
      <c r="G1135">
        <f t="shared" si="91"/>
        <v>30.5</v>
      </c>
      <c r="H1135">
        <v>1</v>
      </c>
      <c r="I1135">
        <f t="shared" si="92"/>
        <v>30.5</v>
      </c>
    </row>
    <row r="1136" spans="4:9" ht="15.75">
      <c r="D1136">
        <v>7.2</v>
      </c>
      <c r="E1136">
        <v>7.2</v>
      </c>
      <c r="F1136">
        <v>16</v>
      </c>
      <c r="G1136">
        <f t="shared" si="91"/>
        <v>115.2</v>
      </c>
      <c r="H1136">
        <v>1</v>
      </c>
      <c r="I1136">
        <f t="shared" si="92"/>
        <v>115.2</v>
      </c>
    </row>
    <row r="1137" spans="4:9" ht="15.75">
      <c r="D1137">
        <v>15.2</v>
      </c>
      <c r="E1137">
        <v>15.2</v>
      </c>
      <c r="F1137">
        <v>6</v>
      </c>
      <c r="G1137">
        <f t="shared" si="91"/>
        <v>91.19999999999999</v>
      </c>
      <c r="H1137">
        <v>1</v>
      </c>
      <c r="I1137">
        <f t="shared" si="92"/>
        <v>91.19999999999999</v>
      </c>
    </row>
    <row r="1138" spans="4:9" ht="15.75">
      <c r="D1138">
        <f>0.25*3.14</f>
        <v>0.785</v>
      </c>
      <c r="E1138">
        <v>7.2</v>
      </c>
      <c r="F1138">
        <v>0.25</v>
      </c>
      <c r="G1138" s="521">
        <f>D1138*E1138^2*F1138</f>
        <v>10.1736</v>
      </c>
      <c r="H1138">
        <v>1</v>
      </c>
      <c r="I1138" s="521">
        <f t="shared" si="92"/>
        <v>10.1736</v>
      </c>
    </row>
    <row r="1139" spans="4:10" ht="15.75">
      <c r="D1139">
        <f>0.25*3.14</f>
        <v>0.785</v>
      </c>
      <c r="E1139">
        <v>6.8</v>
      </c>
      <c r="F1139">
        <v>1.25</v>
      </c>
      <c r="G1139" s="521">
        <f>D1139*E1139^2*F1139</f>
        <v>45.373000000000005</v>
      </c>
      <c r="H1139">
        <v>1</v>
      </c>
      <c r="I1139">
        <f t="shared" si="92"/>
        <v>45.373000000000005</v>
      </c>
      <c r="J1139" s="521">
        <f>SUM(I1130:I1139)</f>
        <v>823.9666000000001</v>
      </c>
    </row>
    <row r="1141" spans="3:9" ht="15.75">
      <c r="C1141" t="s">
        <v>680</v>
      </c>
      <c r="D1141">
        <v>10</v>
      </c>
      <c r="E1141">
        <v>10</v>
      </c>
      <c r="F1141">
        <v>20</v>
      </c>
      <c r="G1141">
        <f aca="true" t="shared" si="93" ref="G1141:G1146">(D1141+E1141)/2*F1141</f>
        <v>200</v>
      </c>
      <c r="H1141">
        <v>1</v>
      </c>
      <c r="I1141">
        <f>H1141*G1141</f>
        <v>200</v>
      </c>
    </row>
    <row r="1142" spans="3:9" ht="15.75">
      <c r="C1142" s="124" t="s">
        <v>188</v>
      </c>
      <c r="D1142">
        <v>5.2</v>
      </c>
      <c r="E1142">
        <v>5.2</v>
      </c>
      <c r="F1142">
        <v>19</v>
      </c>
      <c r="G1142">
        <f t="shared" si="93"/>
        <v>98.8</v>
      </c>
      <c r="H1142">
        <v>1</v>
      </c>
      <c r="I1142">
        <f>H1142*G1142</f>
        <v>98.8</v>
      </c>
    </row>
    <row r="1143" spans="4:9" ht="15.75">
      <c r="D1143">
        <v>5</v>
      </c>
      <c r="E1143">
        <v>5</v>
      </c>
      <c r="F1143">
        <v>9.6</v>
      </c>
      <c r="G1143">
        <f t="shared" si="93"/>
        <v>48</v>
      </c>
      <c r="H1143">
        <v>1</v>
      </c>
      <c r="I1143">
        <f>H1143*G1143</f>
        <v>48</v>
      </c>
    </row>
    <row r="1144" spans="4:10" ht="15.75">
      <c r="D1144">
        <v>8.4</v>
      </c>
      <c r="E1144">
        <v>8.4</v>
      </c>
      <c r="F1144">
        <v>18.4</v>
      </c>
      <c r="G1144">
        <f t="shared" si="93"/>
        <v>154.56</v>
      </c>
      <c r="H1144">
        <v>1</v>
      </c>
      <c r="I1144">
        <f>H1144*G1144</f>
        <v>154.56</v>
      </c>
      <c r="J1144">
        <f>SUM(I1141:I1144)</f>
        <v>501.36</v>
      </c>
    </row>
    <row r="1146" spans="3:10" ht="15.75">
      <c r="C1146" t="s">
        <v>682</v>
      </c>
      <c r="D1146">
        <v>11.2</v>
      </c>
      <c r="E1146">
        <v>11.2</v>
      </c>
      <c r="F1146">
        <v>19</v>
      </c>
      <c r="G1146">
        <f t="shared" si="93"/>
        <v>212.79999999999998</v>
      </c>
      <c r="H1146">
        <v>1</v>
      </c>
      <c r="I1146">
        <f>H1146*G1146</f>
        <v>212.79999999999998</v>
      </c>
      <c r="J1146">
        <f>I1146</f>
        <v>212.79999999999998</v>
      </c>
    </row>
    <row r="1147" ht="15.75">
      <c r="C1147" s="124" t="s">
        <v>189</v>
      </c>
    </row>
    <row r="1149" spans="3:11" ht="15.75">
      <c r="C1149" t="s">
        <v>685</v>
      </c>
      <c r="D1149">
        <v>36</v>
      </c>
      <c r="E1149">
        <v>7.2</v>
      </c>
      <c r="F1149">
        <v>1</v>
      </c>
      <c r="G1149">
        <f>D1149*E1149*F1149</f>
        <v>259.2</v>
      </c>
      <c r="H1149">
        <v>1</v>
      </c>
      <c r="I1149">
        <f>H1149*G1149</f>
        <v>259.2</v>
      </c>
      <c r="J1149">
        <f>I1149</f>
        <v>259.2</v>
      </c>
      <c r="K1149" t="s">
        <v>149</v>
      </c>
    </row>
    <row r="1150" ht="15.75">
      <c r="C1150" s="124" t="s">
        <v>8</v>
      </c>
    </row>
    <row r="1153" spans="3:10" ht="15.75">
      <c r="C1153" t="s">
        <v>683</v>
      </c>
      <c r="D1153">
        <v>7</v>
      </c>
      <c r="E1153">
        <v>7</v>
      </c>
      <c r="F1153">
        <v>19</v>
      </c>
      <c r="G1153">
        <f>(D1153+E1153)/2*F1153</f>
        <v>133</v>
      </c>
      <c r="H1153">
        <v>1</v>
      </c>
      <c r="I1153">
        <f>H1153*G1153</f>
        <v>133</v>
      </c>
      <c r="J1153">
        <f>I1153</f>
        <v>133</v>
      </c>
    </row>
    <row r="1156" spans="3:6" ht="15.75">
      <c r="C1156" s="503" t="s">
        <v>684</v>
      </c>
      <c r="D1156">
        <v>10</v>
      </c>
      <c r="E1156">
        <v>52</v>
      </c>
      <c r="F1156">
        <v>16</v>
      </c>
    </row>
    <row r="1157" spans="4:6" ht="15.75">
      <c r="D1157">
        <v>10</v>
      </c>
      <c r="E1157">
        <v>5</v>
      </c>
      <c r="F1157">
        <v>7.2</v>
      </c>
    </row>
    <row r="1158" spans="4:6" ht="15.75">
      <c r="D1158">
        <v>21.8</v>
      </c>
      <c r="E1158">
        <v>12</v>
      </c>
      <c r="F1158">
        <v>8</v>
      </c>
    </row>
    <row r="1159" spans="4:6" ht="15.75">
      <c r="D1159">
        <v>20</v>
      </c>
      <c r="E1159">
        <v>14</v>
      </c>
      <c r="F1159">
        <v>8</v>
      </c>
    </row>
    <row r="1160" spans="4:6" ht="15.75">
      <c r="D1160">
        <v>5</v>
      </c>
      <c r="E1160">
        <v>4.8</v>
      </c>
      <c r="F1160">
        <v>7.2</v>
      </c>
    </row>
    <row r="1161" spans="4:5" ht="15.75">
      <c r="D1161">
        <v>10</v>
      </c>
      <c r="E1161">
        <v>4.8</v>
      </c>
    </row>
    <row r="1162" spans="4:5" ht="15.75">
      <c r="D1162">
        <v>3.5</v>
      </c>
      <c r="E1162">
        <v>8</v>
      </c>
    </row>
    <row r="1163" spans="4:5" ht="15.75">
      <c r="D1163">
        <v>18.4</v>
      </c>
      <c r="E1163">
        <v>10</v>
      </c>
    </row>
    <row r="1164" spans="4:7" ht="15.75">
      <c r="D1164" s="324">
        <f>SUM(D1156:D1163)</f>
        <v>98.69999999999999</v>
      </c>
      <c r="E1164" s="324">
        <f>SUM(E1156:E1163)</f>
        <v>110.6</v>
      </c>
      <c r="F1164" s="324">
        <f>SUM(F1156:F1163)</f>
        <v>46.400000000000006</v>
      </c>
      <c r="G1164">
        <f>SUM(D1164:F1164)</f>
        <v>255.7</v>
      </c>
    </row>
    <row r="1165" spans="2:17" ht="16.5" thickBot="1">
      <c r="B1165" s="522"/>
      <c r="C1165" s="522"/>
      <c r="D1165" s="522"/>
      <c r="E1165" s="522"/>
      <c r="F1165" s="522"/>
      <c r="G1165" s="522"/>
      <c r="H1165" s="522"/>
      <c r="I1165" s="522"/>
      <c r="J1165" s="522"/>
      <c r="K1165" s="522"/>
      <c r="L1165" s="522"/>
      <c r="M1165" s="522"/>
      <c r="N1165" s="522"/>
      <c r="O1165" s="522"/>
      <c r="P1165" s="522"/>
      <c r="Q1165" s="522"/>
    </row>
    <row r="1166" spans="2:17" ht="15.75">
      <c r="B1166" s="523"/>
      <c r="C1166" s="523"/>
      <c r="D1166" s="523"/>
      <c r="E1166" s="523"/>
      <c r="F1166" s="523"/>
      <c r="G1166" s="523"/>
      <c r="H1166" s="523"/>
      <c r="I1166" s="523"/>
      <c r="J1166" s="523"/>
      <c r="K1166" s="523"/>
      <c r="L1166" s="523"/>
      <c r="M1166" s="523"/>
      <c r="N1166" s="523"/>
      <c r="O1166" s="523"/>
      <c r="P1166" s="523"/>
      <c r="Q1166" s="523"/>
    </row>
    <row r="1167" ht="15.75">
      <c r="C1167" s="503" t="s">
        <v>688</v>
      </c>
    </row>
    <row r="1168" ht="15.75">
      <c r="C1168" s="503" t="s">
        <v>687</v>
      </c>
    </row>
    <row r="1169" spans="3:5" ht="15.75">
      <c r="C1169" t="s">
        <v>689</v>
      </c>
      <c r="D1169">
        <v>13</v>
      </c>
      <c r="E1169" t="s">
        <v>139</v>
      </c>
    </row>
    <row r="1170" spans="3:10" ht="15.75">
      <c r="C1170" s="519" t="s">
        <v>702</v>
      </c>
      <c r="D1170">
        <v>1</v>
      </c>
      <c r="E1170">
        <v>1</v>
      </c>
      <c r="F1170">
        <v>1.5</v>
      </c>
      <c r="G1170">
        <f>F1170*E1170*D1170</f>
        <v>1.5</v>
      </c>
      <c r="H1170">
        <v>1</v>
      </c>
      <c r="I1170">
        <f>H1170*G1170</f>
        <v>1.5</v>
      </c>
      <c r="J1170">
        <f>I1170</f>
        <v>1.5</v>
      </c>
    </row>
    <row r="1171" spans="3:10" ht="15.75">
      <c r="C1171" s="519" t="s">
        <v>690</v>
      </c>
      <c r="D1171">
        <v>0.45</v>
      </c>
      <c r="E1171">
        <v>0.8</v>
      </c>
      <c r="F1171">
        <v>1.2</v>
      </c>
      <c r="G1171">
        <f>(D1171^2+E1171^2)/2*F1171</f>
        <v>0.5055000000000001</v>
      </c>
      <c r="H1171">
        <v>1</v>
      </c>
      <c r="I1171">
        <f>H1171*G1171</f>
        <v>0.5055000000000001</v>
      </c>
      <c r="J1171">
        <f>I1171</f>
        <v>0.5055000000000001</v>
      </c>
    </row>
    <row r="1172" spans="3:10" ht="15.75">
      <c r="C1172" s="519" t="s">
        <v>691</v>
      </c>
      <c r="D1172">
        <v>0.8</v>
      </c>
      <c r="E1172">
        <v>0.8</v>
      </c>
      <c r="F1172">
        <v>0.2</v>
      </c>
      <c r="G1172">
        <f aca="true" t="shared" si="94" ref="G1172:G1177">F1172*E1172*D1172</f>
        <v>0.12800000000000003</v>
      </c>
      <c r="H1172">
        <v>1</v>
      </c>
      <c r="I1172">
        <f aca="true" t="shared" si="95" ref="I1172:I1177">H1172*G1172</f>
        <v>0.12800000000000003</v>
      </c>
      <c r="J1172">
        <f>I1172</f>
        <v>0.12800000000000003</v>
      </c>
    </row>
    <row r="1173" spans="3:10" ht="15.75">
      <c r="C1173" s="519" t="s">
        <v>692</v>
      </c>
      <c r="D1173">
        <v>0.8</v>
      </c>
      <c r="E1173">
        <v>0.8</v>
      </c>
      <c r="F1173">
        <v>0.1</v>
      </c>
      <c r="G1173">
        <f t="shared" si="94"/>
        <v>0.06400000000000002</v>
      </c>
      <c r="H1173">
        <v>1</v>
      </c>
      <c r="I1173">
        <f t="shared" si="95"/>
        <v>0.06400000000000002</v>
      </c>
      <c r="J1173">
        <f>I1173</f>
        <v>0.06400000000000002</v>
      </c>
    </row>
    <row r="1174" spans="3:9" ht="15.75">
      <c r="C1174" s="519" t="s">
        <v>663</v>
      </c>
      <c r="D1174">
        <v>0.45</v>
      </c>
      <c r="E1174">
        <v>4</v>
      </c>
      <c r="F1174">
        <v>1.5</v>
      </c>
      <c r="G1174">
        <f t="shared" si="94"/>
        <v>2.7</v>
      </c>
      <c r="H1174">
        <v>1</v>
      </c>
      <c r="I1174">
        <f t="shared" si="95"/>
        <v>2.7</v>
      </c>
    </row>
    <row r="1175" spans="4:10" ht="15.75">
      <c r="D1175">
        <v>0.45</v>
      </c>
      <c r="E1175">
        <v>0.45</v>
      </c>
      <c r="F1175">
        <v>1</v>
      </c>
      <c r="G1175">
        <f t="shared" si="94"/>
        <v>0.2025</v>
      </c>
      <c r="H1175">
        <v>1</v>
      </c>
      <c r="I1175">
        <f t="shared" si="95"/>
        <v>0.2025</v>
      </c>
      <c r="J1175">
        <f>SUM(I1174:I1175)</f>
        <v>2.9025000000000003</v>
      </c>
    </row>
    <row r="1176" spans="3:9" ht="15.75">
      <c r="C1176" s="519" t="s">
        <v>693</v>
      </c>
      <c r="D1176">
        <v>0.3</v>
      </c>
      <c r="E1176">
        <v>0.2</v>
      </c>
      <c r="F1176">
        <v>0.05</v>
      </c>
      <c r="G1176">
        <f t="shared" si="94"/>
        <v>0.0030000000000000005</v>
      </c>
      <c r="H1176">
        <v>4</v>
      </c>
      <c r="I1176">
        <f t="shared" si="95"/>
        <v>0.012000000000000002</v>
      </c>
    </row>
    <row r="1177" spans="4:10" ht="15.75">
      <c r="D1177">
        <v>0.5</v>
      </c>
      <c r="E1177">
        <v>0.5</v>
      </c>
      <c r="F1177">
        <v>0.08</v>
      </c>
      <c r="G1177">
        <f t="shared" si="94"/>
        <v>0.02</v>
      </c>
      <c r="H1177">
        <v>1</v>
      </c>
      <c r="I1177">
        <f t="shared" si="95"/>
        <v>0.02</v>
      </c>
      <c r="J1177">
        <f>SUM(I1176:I1177)</f>
        <v>0.032</v>
      </c>
    </row>
    <row r="1178" spans="3:10" ht="15.75">
      <c r="C1178" s="519" t="s">
        <v>696</v>
      </c>
      <c r="J1178">
        <f>J1175</f>
        <v>2.9025000000000003</v>
      </c>
    </row>
    <row r="1179" spans="3:10" ht="15.75">
      <c r="C1179" s="519" t="s">
        <v>697</v>
      </c>
      <c r="H1179">
        <v>1</v>
      </c>
      <c r="I1179">
        <v>1</v>
      </c>
      <c r="J1179">
        <v>1</v>
      </c>
    </row>
    <row r="1181" ht="15.75">
      <c r="C1181" t="s">
        <v>688</v>
      </c>
    </row>
    <row r="1182" spans="3:10" ht="15.75">
      <c r="C1182" s="519" t="s">
        <v>459</v>
      </c>
      <c r="D1182">
        <v>1</v>
      </c>
      <c r="E1182">
        <v>0.8</v>
      </c>
      <c r="F1182">
        <v>1</v>
      </c>
      <c r="G1182">
        <f>(D1182+E1182)/2*F1182</f>
        <v>0.9</v>
      </c>
      <c r="H1182">
        <v>3</v>
      </c>
      <c r="I1182">
        <f aca="true" t="shared" si="96" ref="I1182:I1188">H1182*G1182</f>
        <v>2.7</v>
      </c>
      <c r="J1182">
        <f aca="true" t="shared" si="97" ref="J1182:J1188">I1182</f>
        <v>2.7</v>
      </c>
    </row>
    <row r="1183" spans="3:11" ht="15.75">
      <c r="C1183" s="519" t="s">
        <v>690</v>
      </c>
      <c r="D1183">
        <v>0.3</v>
      </c>
      <c r="E1183">
        <v>0.6</v>
      </c>
      <c r="F1183">
        <v>0.6</v>
      </c>
      <c r="G1183">
        <f>(D1183+E1183)/2*F1183</f>
        <v>0.26999999999999996</v>
      </c>
      <c r="H1183">
        <v>3</v>
      </c>
      <c r="I1183">
        <f t="shared" si="96"/>
        <v>0.8099999999999998</v>
      </c>
      <c r="J1183">
        <f t="shared" si="97"/>
        <v>0.8099999999999998</v>
      </c>
      <c r="K1183" t="s">
        <v>134</v>
      </c>
    </row>
    <row r="1184" spans="3:11" ht="15.75">
      <c r="C1184" s="519" t="s">
        <v>691</v>
      </c>
      <c r="D1184">
        <v>0.2</v>
      </c>
      <c r="E1184">
        <v>0.8</v>
      </c>
      <c r="F1184">
        <v>1</v>
      </c>
      <c r="G1184">
        <f>F1184*E1184*D1184</f>
        <v>0.16000000000000003</v>
      </c>
      <c r="H1184">
        <v>3</v>
      </c>
      <c r="I1184">
        <f t="shared" si="96"/>
        <v>0.4800000000000001</v>
      </c>
      <c r="J1184">
        <f t="shared" si="97"/>
        <v>0.4800000000000001</v>
      </c>
      <c r="K1184" t="s">
        <v>134</v>
      </c>
    </row>
    <row r="1185" spans="3:11" ht="15.75">
      <c r="C1185" s="519" t="s">
        <v>692</v>
      </c>
      <c r="D1185">
        <v>0.1</v>
      </c>
      <c r="E1185">
        <v>0.8</v>
      </c>
      <c r="F1185">
        <v>1</v>
      </c>
      <c r="G1185">
        <f>F1185*E1185*D1185</f>
        <v>0.08000000000000002</v>
      </c>
      <c r="H1185">
        <v>3</v>
      </c>
      <c r="I1185">
        <f t="shared" si="96"/>
        <v>0.24000000000000005</v>
      </c>
      <c r="J1185">
        <f t="shared" si="97"/>
        <v>0.24000000000000005</v>
      </c>
      <c r="K1185" t="s">
        <v>134</v>
      </c>
    </row>
    <row r="1186" spans="3:11" ht="15.75">
      <c r="C1186" s="519" t="s">
        <v>663</v>
      </c>
      <c r="D1186">
        <v>0.2</v>
      </c>
      <c r="E1186">
        <v>0.3</v>
      </c>
      <c r="F1186">
        <v>1</v>
      </c>
      <c r="G1186">
        <f>E1186+D1186*2</f>
        <v>0.7</v>
      </c>
      <c r="H1186">
        <v>3</v>
      </c>
      <c r="I1186">
        <f t="shared" si="96"/>
        <v>2.0999999999999996</v>
      </c>
      <c r="J1186">
        <f t="shared" si="97"/>
        <v>2.0999999999999996</v>
      </c>
      <c r="K1186" t="s">
        <v>149</v>
      </c>
    </row>
    <row r="1187" spans="3:11" ht="15.75">
      <c r="C1187" s="519" t="s">
        <v>694</v>
      </c>
      <c r="D1187">
        <v>0.15</v>
      </c>
      <c r="E1187">
        <v>0.2</v>
      </c>
      <c r="F1187">
        <v>1</v>
      </c>
      <c r="G1187">
        <f>F1187*E1187*D1187</f>
        <v>0.03</v>
      </c>
      <c r="H1187">
        <v>3</v>
      </c>
      <c r="I1187">
        <f t="shared" si="96"/>
        <v>0.09</v>
      </c>
      <c r="J1187">
        <f t="shared" si="97"/>
        <v>0.09</v>
      </c>
      <c r="K1187" t="s">
        <v>134</v>
      </c>
    </row>
    <row r="1188" spans="3:11" ht="15.75">
      <c r="C1188" s="519" t="s">
        <v>695</v>
      </c>
      <c r="D1188">
        <v>0.2</v>
      </c>
      <c r="E1188">
        <v>0.3</v>
      </c>
      <c r="F1188">
        <v>1</v>
      </c>
      <c r="G1188">
        <f>F1188*E1188*D1188</f>
        <v>0.06</v>
      </c>
      <c r="H1188">
        <v>3</v>
      </c>
      <c r="I1188">
        <f t="shared" si="96"/>
        <v>0.18</v>
      </c>
      <c r="J1188">
        <f t="shared" si="97"/>
        <v>0.18</v>
      </c>
      <c r="K1188" t="s">
        <v>134</v>
      </c>
    </row>
    <row r="1189" spans="3:11" ht="15.75">
      <c r="C1189" s="519" t="s">
        <v>696</v>
      </c>
      <c r="G1189">
        <f>G1188</f>
        <v>0.06</v>
      </c>
      <c r="J1189">
        <f>J1186</f>
        <v>2.0999999999999996</v>
      </c>
      <c r="K1189" t="s">
        <v>149</v>
      </c>
    </row>
    <row r="1190" spans="3:11" ht="15.75">
      <c r="C1190" s="519" t="s">
        <v>698</v>
      </c>
      <c r="D1190">
        <v>0.9</v>
      </c>
      <c r="E1190">
        <v>2.8</v>
      </c>
      <c r="F1190">
        <v>1</v>
      </c>
      <c r="G1190">
        <f>F1190*E1190*D1190</f>
        <v>2.52</v>
      </c>
      <c r="H1190">
        <v>1</v>
      </c>
      <c r="I1190">
        <f>H1190*G1190</f>
        <v>2.52</v>
      </c>
      <c r="J1190">
        <f>I1190</f>
        <v>2.52</v>
      </c>
      <c r="K1190" t="s">
        <v>149</v>
      </c>
    </row>
    <row r="1192" spans="4:7" ht="15.75">
      <c r="D1192">
        <v>3</v>
      </c>
      <c r="E1192" s="519" t="s">
        <v>699</v>
      </c>
      <c r="F1192">
        <v>9</v>
      </c>
      <c r="G1192" t="s">
        <v>139</v>
      </c>
    </row>
    <row r="1193" spans="4:7" ht="15.75">
      <c r="D1193">
        <v>1.6</v>
      </c>
      <c r="E1193" s="519" t="s">
        <v>699</v>
      </c>
      <c r="F1193">
        <v>1</v>
      </c>
      <c r="G1193" t="s">
        <v>139</v>
      </c>
    </row>
    <row r="1194" spans="4:7" ht="15.75">
      <c r="D1194">
        <v>1.2</v>
      </c>
      <c r="E1194" s="519" t="s">
        <v>699</v>
      </c>
      <c r="F1194">
        <v>1</v>
      </c>
      <c r="G1194" t="s">
        <v>139</v>
      </c>
    </row>
    <row r="1195" ht="15.75">
      <c r="E1195" s="519"/>
    </row>
    <row r="1197" ht="15.75">
      <c r="C1197" s="503" t="s">
        <v>708</v>
      </c>
    </row>
    <row r="1198" spans="3:6" ht="15.75">
      <c r="C1198" t="s">
        <v>701</v>
      </c>
      <c r="D1198">
        <f>RAB!H282</f>
        <v>164</v>
      </c>
      <c r="E1198" t="s">
        <v>370</v>
      </c>
      <c r="F1198" s="524" t="s">
        <v>707</v>
      </c>
    </row>
    <row r="1199" spans="3:11" ht="15.75">
      <c r="C1199" s="519" t="s">
        <v>459</v>
      </c>
      <c r="D1199">
        <v>1</v>
      </c>
      <c r="E1199">
        <v>0.8</v>
      </c>
      <c r="F1199">
        <v>1.5</v>
      </c>
      <c r="G1199">
        <f>(D1199+E1199)/2*F1199</f>
        <v>1.35</v>
      </c>
      <c r="H1199">
        <f>D$1198</f>
        <v>164</v>
      </c>
      <c r="I1199" s="521">
        <f aca="true" t="shared" si="98" ref="I1199:I1208">H1199*G1199</f>
        <v>221.4</v>
      </c>
      <c r="J1199" s="521">
        <f aca="true" t="shared" si="99" ref="J1199:J1208">I1199</f>
        <v>221.4</v>
      </c>
      <c r="K1199" t="s">
        <v>134</v>
      </c>
    </row>
    <row r="1200" spans="3:11" ht="15.75">
      <c r="C1200" s="519" t="s">
        <v>690</v>
      </c>
      <c r="D1200">
        <v>0.3</v>
      </c>
      <c r="E1200">
        <v>0.8</v>
      </c>
      <c r="F1200">
        <v>1</v>
      </c>
      <c r="G1200">
        <f>(D1200+E1200)/2*F1200</f>
        <v>0.55</v>
      </c>
      <c r="H1200">
        <f aca="true" t="shared" si="100" ref="H1200:H1206">D$1198</f>
        <v>164</v>
      </c>
      <c r="I1200" s="521">
        <f t="shared" si="98"/>
        <v>90.2</v>
      </c>
      <c r="J1200" s="521">
        <f t="shared" si="99"/>
        <v>90.2</v>
      </c>
      <c r="K1200" t="s">
        <v>134</v>
      </c>
    </row>
    <row r="1201" spans="3:11" ht="15.75">
      <c r="C1201" s="519" t="s">
        <v>691</v>
      </c>
      <c r="D1201">
        <v>0.2</v>
      </c>
      <c r="E1201">
        <v>1</v>
      </c>
      <c r="F1201">
        <v>1</v>
      </c>
      <c r="G1201">
        <f>F1201*E1201*D1201</f>
        <v>0.2</v>
      </c>
      <c r="H1201">
        <f t="shared" si="100"/>
        <v>164</v>
      </c>
      <c r="I1201" s="521">
        <f t="shared" si="98"/>
        <v>32.800000000000004</v>
      </c>
      <c r="J1201" s="521">
        <f t="shared" si="99"/>
        <v>32.800000000000004</v>
      </c>
      <c r="K1201" t="s">
        <v>134</v>
      </c>
    </row>
    <row r="1202" spans="3:11" ht="15.75">
      <c r="C1202" s="519" t="s">
        <v>692</v>
      </c>
      <c r="D1202">
        <v>0.1</v>
      </c>
      <c r="E1202">
        <v>1</v>
      </c>
      <c r="F1202">
        <v>1</v>
      </c>
      <c r="G1202">
        <f>F1202*E1202*D1202</f>
        <v>0.1</v>
      </c>
      <c r="H1202">
        <f t="shared" si="100"/>
        <v>164</v>
      </c>
      <c r="I1202" s="521">
        <f t="shared" si="98"/>
        <v>16.400000000000002</v>
      </c>
      <c r="J1202" s="521">
        <f t="shared" si="99"/>
        <v>16.400000000000002</v>
      </c>
      <c r="K1202" t="s">
        <v>134</v>
      </c>
    </row>
    <row r="1203" spans="3:11" ht="15.75">
      <c r="C1203" s="519" t="s">
        <v>705</v>
      </c>
      <c r="D1203">
        <v>1</v>
      </c>
      <c r="E1203">
        <v>2</v>
      </c>
      <c r="F1203">
        <v>1</v>
      </c>
      <c r="G1203">
        <f>F1203*E1203*D1203</f>
        <v>2</v>
      </c>
      <c r="H1203">
        <f>D$1198</f>
        <v>164</v>
      </c>
      <c r="I1203" s="521">
        <f t="shared" si="98"/>
        <v>328</v>
      </c>
      <c r="J1203" s="521">
        <f t="shared" si="99"/>
        <v>328</v>
      </c>
      <c r="K1203" t="s">
        <v>149</v>
      </c>
    </row>
    <row r="1204" spans="3:11" ht="15.75">
      <c r="C1204" s="519" t="s">
        <v>663</v>
      </c>
      <c r="D1204">
        <v>2</v>
      </c>
      <c r="E1204">
        <v>2</v>
      </c>
      <c r="F1204">
        <v>1</v>
      </c>
      <c r="G1204">
        <f>E1204+D1204*2</f>
        <v>6</v>
      </c>
      <c r="H1204">
        <f t="shared" si="100"/>
        <v>164</v>
      </c>
      <c r="I1204" s="521">
        <f t="shared" si="98"/>
        <v>984</v>
      </c>
      <c r="J1204" s="521">
        <f t="shared" si="99"/>
        <v>984</v>
      </c>
      <c r="K1204" t="s">
        <v>149</v>
      </c>
    </row>
    <row r="1205" spans="3:11" ht="15.75">
      <c r="C1205" s="519" t="s">
        <v>694</v>
      </c>
      <c r="D1205">
        <v>0.15</v>
      </c>
      <c r="E1205">
        <v>0.2</v>
      </c>
      <c r="F1205">
        <v>1</v>
      </c>
      <c r="G1205">
        <f>F1205*E1205*D1205</f>
        <v>0.03</v>
      </c>
      <c r="H1205">
        <f t="shared" si="100"/>
        <v>164</v>
      </c>
      <c r="I1205" s="521">
        <f t="shared" si="98"/>
        <v>4.92</v>
      </c>
      <c r="J1205" s="521">
        <f t="shared" si="99"/>
        <v>4.92</v>
      </c>
      <c r="K1205" t="s">
        <v>134</v>
      </c>
    </row>
    <row r="1206" spans="3:11" ht="15.75">
      <c r="C1206" s="519" t="s">
        <v>703</v>
      </c>
      <c r="D1206">
        <v>0.12</v>
      </c>
      <c r="E1206">
        <v>0.12</v>
      </c>
      <c r="F1206">
        <v>2.5</v>
      </c>
      <c r="G1206">
        <f>F1206*E1206*D1206/3</f>
        <v>0.011999999999999999</v>
      </c>
      <c r="H1206">
        <f t="shared" si="100"/>
        <v>164</v>
      </c>
      <c r="I1206" s="521">
        <f t="shared" si="98"/>
        <v>1.9679999999999997</v>
      </c>
      <c r="J1206" s="521">
        <f t="shared" si="99"/>
        <v>1.9679999999999997</v>
      </c>
      <c r="K1206" t="s">
        <v>134</v>
      </c>
    </row>
    <row r="1207" spans="3:11" ht="15.75">
      <c r="C1207" s="519" t="s">
        <v>704</v>
      </c>
      <c r="D1207">
        <v>0.15</v>
      </c>
      <c r="E1207">
        <v>0.2</v>
      </c>
      <c r="F1207">
        <v>1</v>
      </c>
      <c r="G1207">
        <f>F1207*E1207*D1207</f>
        <v>0.03</v>
      </c>
      <c r="H1207">
        <f>D$1198</f>
        <v>164</v>
      </c>
      <c r="I1207" s="521">
        <f t="shared" si="98"/>
        <v>4.92</v>
      </c>
      <c r="J1207" s="521">
        <f t="shared" si="99"/>
        <v>4.92</v>
      </c>
      <c r="K1207" t="s">
        <v>134</v>
      </c>
    </row>
    <row r="1208" spans="3:11" ht="15.75">
      <c r="C1208" s="519" t="s">
        <v>696</v>
      </c>
      <c r="D1208">
        <v>2</v>
      </c>
      <c r="E1208">
        <v>2</v>
      </c>
      <c r="F1208">
        <v>1</v>
      </c>
      <c r="G1208">
        <f>E1208+D1208*2</f>
        <v>6</v>
      </c>
      <c r="H1208">
        <f>D$1198</f>
        <v>164</v>
      </c>
      <c r="I1208" s="521">
        <f t="shared" si="98"/>
        <v>984</v>
      </c>
      <c r="J1208" s="521">
        <f t="shared" si="99"/>
        <v>984</v>
      </c>
      <c r="K1208" t="s">
        <v>149</v>
      </c>
    </row>
    <row r="1210" spans="3:6" ht="15.75">
      <c r="C1210" t="s">
        <v>706</v>
      </c>
      <c r="D1210">
        <f>RAB!H295</f>
        <v>45</v>
      </c>
      <c r="E1210" t="s">
        <v>370</v>
      </c>
      <c r="F1210" s="524" t="s">
        <v>707</v>
      </c>
    </row>
    <row r="1211" spans="3:11" ht="15.75">
      <c r="C1211" s="519" t="s">
        <v>459</v>
      </c>
      <c r="D1211">
        <v>1</v>
      </c>
      <c r="E1211">
        <v>0.8</v>
      </c>
      <c r="F1211">
        <v>0.8</v>
      </c>
      <c r="G1211">
        <f>(D1211+E1211)/2*F1211</f>
        <v>0.7200000000000001</v>
      </c>
      <c r="H1211">
        <f>D$1210</f>
        <v>45</v>
      </c>
      <c r="I1211" s="521">
        <f>H1211*G1211</f>
        <v>32.400000000000006</v>
      </c>
      <c r="J1211" s="521">
        <f aca="true" t="shared" si="101" ref="J1211:J1220">I1211</f>
        <v>32.400000000000006</v>
      </c>
      <c r="K1211" t="s">
        <v>134</v>
      </c>
    </row>
    <row r="1212" spans="3:11" ht="15.75">
      <c r="C1212" s="519" t="s">
        <v>690</v>
      </c>
      <c r="D1212">
        <v>0.3</v>
      </c>
      <c r="E1212">
        <v>1</v>
      </c>
      <c r="F1212">
        <v>1.5</v>
      </c>
      <c r="G1212">
        <f>(D1212+E1212)/2*F1212</f>
        <v>0.9750000000000001</v>
      </c>
      <c r="H1212">
        <f aca="true" t="shared" si="102" ref="H1212:H1220">D$1210</f>
        <v>45</v>
      </c>
      <c r="I1212" s="521">
        <f>H1212*G1212</f>
        <v>43.87500000000001</v>
      </c>
      <c r="J1212" s="521">
        <f t="shared" si="101"/>
        <v>43.87500000000001</v>
      </c>
      <c r="K1212" t="s">
        <v>134</v>
      </c>
    </row>
    <row r="1213" spans="3:11" ht="15.75">
      <c r="C1213" s="519" t="s">
        <v>691</v>
      </c>
      <c r="D1213">
        <v>0.2</v>
      </c>
      <c r="E1213">
        <v>1</v>
      </c>
      <c r="F1213">
        <v>1</v>
      </c>
      <c r="G1213">
        <f>F1213*E1213*D1213</f>
        <v>0.2</v>
      </c>
      <c r="H1213">
        <f t="shared" si="102"/>
        <v>45</v>
      </c>
      <c r="I1213" s="521">
        <f aca="true" t="shared" si="103" ref="I1213:I1220">H1213*G1213</f>
        <v>9</v>
      </c>
      <c r="J1213" s="521">
        <f t="shared" si="101"/>
        <v>9</v>
      </c>
      <c r="K1213" t="s">
        <v>134</v>
      </c>
    </row>
    <row r="1214" spans="3:11" ht="15.75">
      <c r="C1214" s="519" t="s">
        <v>692</v>
      </c>
      <c r="D1214">
        <v>0.1</v>
      </c>
      <c r="E1214">
        <v>1</v>
      </c>
      <c r="F1214">
        <v>1</v>
      </c>
      <c r="G1214">
        <f>F1214*E1214*D1214</f>
        <v>0.1</v>
      </c>
      <c r="H1214">
        <f t="shared" si="102"/>
        <v>45</v>
      </c>
      <c r="I1214" s="521">
        <f t="shared" si="103"/>
        <v>4.5</v>
      </c>
      <c r="J1214" s="521">
        <f t="shared" si="101"/>
        <v>4.5</v>
      </c>
      <c r="K1214" t="s">
        <v>134</v>
      </c>
    </row>
    <row r="1215" spans="3:11" ht="15.75">
      <c r="C1215" s="519" t="s">
        <v>705</v>
      </c>
      <c r="D1215">
        <v>1</v>
      </c>
      <c r="E1215">
        <v>2</v>
      </c>
      <c r="F1215">
        <v>1</v>
      </c>
      <c r="G1215">
        <f>F1215*E1215*D1215</f>
        <v>2</v>
      </c>
      <c r="H1215">
        <f t="shared" si="102"/>
        <v>45</v>
      </c>
      <c r="I1215" s="521">
        <f t="shared" si="103"/>
        <v>90</v>
      </c>
      <c r="J1215" s="521">
        <f t="shared" si="101"/>
        <v>90</v>
      </c>
      <c r="K1215" t="s">
        <v>149</v>
      </c>
    </row>
    <row r="1216" spans="3:11" ht="15.75">
      <c r="C1216" s="519" t="s">
        <v>663</v>
      </c>
      <c r="D1216">
        <v>2</v>
      </c>
      <c r="E1216">
        <v>2</v>
      </c>
      <c r="F1216">
        <v>1</v>
      </c>
      <c r="G1216">
        <f>E1216+D1216*2</f>
        <v>6</v>
      </c>
      <c r="H1216">
        <f t="shared" si="102"/>
        <v>45</v>
      </c>
      <c r="I1216" s="521">
        <f t="shared" si="103"/>
        <v>270</v>
      </c>
      <c r="J1216" s="521">
        <f t="shared" si="101"/>
        <v>270</v>
      </c>
      <c r="K1216" t="s">
        <v>149</v>
      </c>
    </row>
    <row r="1217" spans="3:11" ht="15.75">
      <c r="C1217" s="519" t="s">
        <v>694</v>
      </c>
      <c r="D1217">
        <v>0.15</v>
      </c>
      <c r="E1217">
        <v>0.2</v>
      </c>
      <c r="F1217">
        <v>1</v>
      </c>
      <c r="G1217">
        <f>F1217*E1217*D1217</f>
        <v>0.03</v>
      </c>
      <c r="H1217">
        <f t="shared" si="102"/>
        <v>45</v>
      </c>
      <c r="I1217" s="521">
        <f t="shared" si="103"/>
        <v>1.3499999999999999</v>
      </c>
      <c r="J1217" s="521">
        <f t="shared" si="101"/>
        <v>1.3499999999999999</v>
      </c>
      <c r="K1217" t="s">
        <v>134</v>
      </c>
    </row>
    <row r="1218" spans="3:11" ht="15.75">
      <c r="C1218" s="519" t="s">
        <v>703</v>
      </c>
      <c r="D1218">
        <v>0.12</v>
      </c>
      <c r="E1218">
        <v>0.12</v>
      </c>
      <c r="F1218">
        <v>2.5</v>
      </c>
      <c r="G1218">
        <f>F1218*E1218*D1218/3</f>
        <v>0.011999999999999999</v>
      </c>
      <c r="H1218">
        <f t="shared" si="102"/>
        <v>45</v>
      </c>
      <c r="I1218" s="521">
        <f t="shared" si="103"/>
        <v>0.5399999999999999</v>
      </c>
      <c r="J1218" s="521">
        <f t="shared" si="101"/>
        <v>0.5399999999999999</v>
      </c>
      <c r="K1218" t="s">
        <v>134</v>
      </c>
    </row>
    <row r="1219" spans="3:11" ht="15.75">
      <c r="C1219" s="519" t="s">
        <v>704</v>
      </c>
      <c r="D1219">
        <v>0.15</v>
      </c>
      <c r="E1219">
        <v>0.2</v>
      </c>
      <c r="F1219">
        <v>1</v>
      </c>
      <c r="G1219">
        <f>F1219*E1219*D1219</f>
        <v>0.03</v>
      </c>
      <c r="H1219">
        <f t="shared" si="102"/>
        <v>45</v>
      </c>
      <c r="I1219" s="521">
        <f t="shared" si="103"/>
        <v>1.3499999999999999</v>
      </c>
      <c r="J1219" s="521">
        <f t="shared" si="101"/>
        <v>1.3499999999999999</v>
      </c>
      <c r="K1219" t="s">
        <v>134</v>
      </c>
    </row>
    <row r="1220" spans="3:11" ht="15.75">
      <c r="C1220" s="519" t="s">
        <v>696</v>
      </c>
      <c r="D1220">
        <v>2</v>
      </c>
      <c r="E1220">
        <v>2</v>
      </c>
      <c r="F1220">
        <v>1</v>
      </c>
      <c r="G1220">
        <f>E1220+D1220*2</f>
        <v>6</v>
      </c>
      <c r="H1220">
        <f t="shared" si="102"/>
        <v>45</v>
      </c>
      <c r="I1220" s="521">
        <f t="shared" si="103"/>
        <v>270</v>
      </c>
      <c r="J1220" s="521">
        <f t="shared" si="101"/>
        <v>270</v>
      </c>
      <c r="K1220" t="s">
        <v>149</v>
      </c>
    </row>
    <row r="1222" spans="2:17" ht="16.5" thickBot="1">
      <c r="B1222" s="513"/>
      <c r="C1222" s="513"/>
      <c r="D1222" s="513"/>
      <c r="E1222" s="513"/>
      <c r="F1222" s="513"/>
      <c r="G1222" s="513"/>
      <c r="H1222" s="513"/>
      <c r="I1222" s="513"/>
      <c r="J1222" s="513"/>
      <c r="K1222" s="513"/>
      <c r="L1222" s="513"/>
      <c r="M1222" s="513"/>
      <c r="N1222" s="513"/>
      <c r="O1222" s="513"/>
      <c r="P1222" s="513"/>
      <c r="Q1222" s="513"/>
    </row>
    <row r="1223" spans="2:17" ht="16.5" thickTop="1">
      <c r="B1223" s="514"/>
      <c r="C1223" s="514"/>
      <c r="D1223" s="514"/>
      <c r="E1223" s="514"/>
      <c r="F1223" s="514"/>
      <c r="G1223" s="514"/>
      <c r="H1223" s="514"/>
      <c r="I1223" s="514"/>
      <c r="J1223" s="514"/>
      <c r="K1223" s="514"/>
      <c r="L1223" s="514"/>
      <c r="M1223" s="514"/>
      <c r="N1223" s="514"/>
      <c r="O1223" s="514"/>
      <c r="P1223" s="514"/>
      <c r="Q1223" s="514"/>
    </row>
    <row r="1225" ht="15.75">
      <c r="C1225" s="503" t="s">
        <v>710</v>
      </c>
    </row>
    <row r="1227" spans="3:10" ht="15.75">
      <c r="C1227" t="s">
        <v>459</v>
      </c>
      <c r="D1227">
        <v>1</v>
      </c>
      <c r="E1227">
        <v>1</v>
      </c>
      <c r="F1227">
        <v>1.3</v>
      </c>
      <c r="G1227">
        <f>F1227*E1227*D1227</f>
        <v>1.3</v>
      </c>
      <c r="H1227">
        <v>8</v>
      </c>
      <c r="I1227">
        <f>H1227*G1227</f>
        <v>10.4</v>
      </c>
      <c r="J1227">
        <f>I1227</f>
        <v>10.4</v>
      </c>
    </row>
    <row r="1228" spans="3:10" ht="15.75">
      <c r="C1228" t="s">
        <v>438</v>
      </c>
      <c r="D1228">
        <v>1</v>
      </c>
      <c r="E1228">
        <v>1</v>
      </c>
      <c r="F1228">
        <v>0.1</v>
      </c>
      <c r="G1228">
        <f aca="true" t="shared" si="104" ref="G1228:G1233">F1228*E1228*D1228</f>
        <v>0.1</v>
      </c>
      <c r="H1228">
        <v>8</v>
      </c>
      <c r="I1228">
        <f aca="true" t="shared" si="105" ref="I1228:I1233">H1228*G1228</f>
        <v>0.8</v>
      </c>
      <c r="J1228">
        <f aca="true" t="shared" si="106" ref="J1228:J1233">I1228</f>
        <v>0.8</v>
      </c>
    </row>
    <row r="1229" spans="3:10" ht="15.75">
      <c r="C1229" t="s">
        <v>711</v>
      </c>
      <c r="D1229">
        <v>1</v>
      </c>
      <c r="E1229">
        <v>1</v>
      </c>
      <c r="F1229">
        <v>0.2</v>
      </c>
      <c r="G1229">
        <f t="shared" si="104"/>
        <v>0.2</v>
      </c>
      <c r="H1229">
        <v>8</v>
      </c>
      <c r="I1229">
        <f t="shared" si="105"/>
        <v>1.6</v>
      </c>
      <c r="J1229">
        <f t="shared" si="106"/>
        <v>1.6</v>
      </c>
    </row>
    <row r="1230" spans="3:10" ht="15.75">
      <c r="C1230" t="s">
        <v>690</v>
      </c>
      <c r="D1230">
        <v>0.3</v>
      </c>
      <c r="E1230">
        <v>0.8</v>
      </c>
      <c r="F1230">
        <v>1.3</v>
      </c>
      <c r="G1230" s="521">
        <f>(E1230^2+D1230^2)/2*F1230</f>
        <v>0.4745000000000001</v>
      </c>
      <c r="H1230">
        <v>8</v>
      </c>
      <c r="I1230" s="521">
        <f t="shared" si="105"/>
        <v>3.7960000000000007</v>
      </c>
      <c r="J1230">
        <f t="shared" si="106"/>
        <v>3.7960000000000007</v>
      </c>
    </row>
    <row r="1231" spans="3:10" ht="15.75">
      <c r="C1231" t="s">
        <v>694</v>
      </c>
      <c r="D1231">
        <v>0.15</v>
      </c>
      <c r="E1231">
        <v>0.2</v>
      </c>
      <c r="F1231">
        <v>3</v>
      </c>
      <c r="G1231">
        <f t="shared" si="104"/>
        <v>0.09000000000000001</v>
      </c>
      <c r="H1231">
        <v>4</v>
      </c>
      <c r="I1231">
        <f t="shared" si="105"/>
        <v>0.36000000000000004</v>
      </c>
      <c r="J1231">
        <f t="shared" si="106"/>
        <v>0.36000000000000004</v>
      </c>
    </row>
    <row r="1232" spans="3:10" ht="15.75">
      <c r="C1232" t="s">
        <v>703</v>
      </c>
      <c r="D1232">
        <v>0.2</v>
      </c>
      <c r="E1232">
        <v>0.2</v>
      </c>
      <c r="F1232">
        <v>3.3</v>
      </c>
      <c r="G1232">
        <f t="shared" si="104"/>
        <v>0.132</v>
      </c>
      <c r="H1232">
        <v>8</v>
      </c>
      <c r="I1232">
        <f t="shared" si="105"/>
        <v>1.056</v>
      </c>
      <c r="J1232">
        <f t="shared" si="106"/>
        <v>1.056</v>
      </c>
    </row>
    <row r="1233" spans="3:10" ht="15.75">
      <c r="C1233" t="s">
        <v>712</v>
      </c>
      <c r="D1233">
        <v>0.3</v>
      </c>
      <c r="E1233">
        <v>4</v>
      </c>
      <c r="F1233">
        <v>2</v>
      </c>
      <c r="G1233">
        <f t="shared" si="104"/>
        <v>2.4</v>
      </c>
      <c r="H1233">
        <v>8</v>
      </c>
      <c r="I1233">
        <f t="shared" si="105"/>
        <v>19.2</v>
      </c>
      <c r="J1233">
        <f t="shared" si="106"/>
        <v>19.2</v>
      </c>
    </row>
    <row r="1235" ht="15.75">
      <c r="C1235" t="s">
        <v>713</v>
      </c>
    </row>
    <row r="1236" spans="3:9" ht="15.75">
      <c r="C1236" s="519" t="s">
        <v>714</v>
      </c>
      <c r="D1236" t="s">
        <v>715</v>
      </c>
      <c r="E1236">
        <v>12.1</v>
      </c>
      <c r="F1236">
        <v>3</v>
      </c>
      <c r="G1236">
        <f>F1236*E1236</f>
        <v>36.3</v>
      </c>
      <c r="H1236">
        <v>4</v>
      </c>
      <c r="I1236">
        <f>H1236*G1236</f>
        <v>145.2</v>
      </c>
    </row>
    <row r="1237" spans="5:9" ht="15.75">
      <c r="E1237">
        <v>12.1</v>
      </c>
      <c r="F1237">
        <v>0.5</v>
      </c>
      <c r="G1237">
        <f>F1237*E1237</f>
        <v>6.05</v>
      </c>
      <c r="H1237">
        <v>4</v>
      </c>
      <c r="I1237">
        <f>H1237*G1237</f>
        <v>24.2</v>
      </c>
    </row>
    <row r="1238" spans="5:9" ht="15.75">
      <c r="E1238">
        <v>12.1</v>
      </c>
      <c r="F1238">
        <v>5</v>
      </c>
      <c r="G1238">
        <f>F1238*E1238</f>
        <v>60.5</v>
      </c>
      <c r="H1238">
        <v>4</v>
      </c>
      <c r="I1238">
        <f>H1238*G1238</f>
        <v>242</v>
      </c>
    </row>
    <row r="1239" spans="5:10" ht="15.75">
      <c r="E1239">
        <v>12.1</v>
      </c>
      <c r="F1239">
        <v>15.5</v>
      </c>
      <c r="G1239">
        <f>F1239*E1239</f>
        <v>187.54999999999998</v>
      </c>
      <c r="H1239">
        <v>2</v>
      </c>
      <c r="I1239">
        <f>H1239*G1239</f>
        <v>375.09999999999997</v>
      </c>
      <c r="J1239" s="521">
        <f>SUM(I1236:I1239)</f>
        <v>786.5</v>
      </c>
    </row>
    <row r="1240" spans="4:10" ht="15.75">
      <c r="D1240" t="s">
        <v>716</v>
      </c>
      <c r="E1240" s="525">
        <v>0.1</v>
      </c>
      <c r="J1240">
        <f>J1239*E1240</f>
        <v>78.65</v>
      </c>
    </row>
    <row r="1241" spans="10:11" ht="15.75">
      <c r="J1241" s="526">
        <f>SUM(J1239:J1240)</f>
        <v>865.15</v>
      </c>
      <c r="K1241" t="s">
        <v>148</v>
      </c>
    </row>
    <row r="1242" ht="15.75">
      <c r="J1242" s="527"/>
    </row>
    <row r="1243" spans="3:11" ht="15.75">
      <c r="C1243" t="s">
        <v>717</v>
      </c>
      <c r="D1243" t="s">
        <v>718</v>
      </c>
      <c r="E1243">
        <v>12.1</v>
      </c>
      <c r="F1243">
        <v>16.5</v>
      </c>
      <c r="G1243">
        <f>F1243*E1243</f>
        <v>199.65</v>
      </c>
      <c r="H1243">
        <v>3</v>
      </c>
      <c r="I1243">
        <f>H1243*G1243</f>
        <v>598.95</v>
      </c>
      <c r="J1243">
        <f>I1243</f>
        <v>598.95</v>
      </c>
      <c r="K1243" t="s">
        <v>148</v>
      </c>
    </row>
    <row r="1245" spans="3:11" ht="15.75">
      <c r="C1245" t="s">
        <v>719</v>
      </c>
      <c r="D1245">
        <v>6</v>
      </c>
      <c r="E1245">
        <v>16.5</v>
      </c>
      <c r="F1245">
        <v>1</v>
      </c>
      <c r="G1245">
        <f>F1245*E1245*D1245</f>
        <v>99</v>
      </c>
      <c r="H1245">
        <v>1</v>
      </c>
      <c r="I1245">
        <f>H1245*G1245</f>
        <v>99</v>
      </c>
      <c r="J1245">
        <f>I1245</f>
        <v>99</v>
      </c>
      <c r="K1245" t="s">
        <v>149</v>
      </c>
    </row>
    <row r="1247" spans="3:9" ht="15.75">
      <c r="C1247" t="s">
        <v>720</v>
      </c>
      <c r="D1247" t="s">
        <v>718</v>
      </c>
      <c r="E1247">
        <v>0.319</v>
      </c>
      <c r="F1247">
        <v>3</v>
      </c>
      <c r="G1247">
        <f>F1247*E1247</f>
        <v>0.9570000000000001</v>
      </c>
      <c r="H1247">
        <v>4</v>
      </c>
      <c r="I1247">
        <f>H1247*G1247</f>
        <v>3.8280000000000003</v>
      </c>
    </row>
    <row r="1248" spans="5:9" ht="15.75">
      <c r="E1248">
        <v>0.319</v>
      </c>
      <c r="F1248">
        <v>0.5</v>
      </c>
      <c r="G1248">
        <f>F1248*E1248</f>
        <v>0.1595</v>
      </c>
      <c r="H1248">
        <v>4</v>
      </c>
      <c r="I1248">
        <f>H1248*G1248</f>
        <v>0.638</v>
      </c>
    </row>
    <row r="1249" spans="5:9" ht="15.75">
      <c r="E1249">
        <v>0.319</v>
      </c>
      <c r="F1249">
        <v>5</v>
      </c>
      <c r="G1249">
        <f>F1249*E1249</f>
        <v>1.595</v>
      </c>
      <c r="H1249">
        <v>4</v>
      </c>
      <c r="I1249">
        <f>H1249*G1249</f>
        <v>6.38</v>
      </c>
    </row>
    <row r="1250" spans="5:11" ht="15.75">
      <c r="E1250">
        <v>0.319</v>
      </c>
      <c r="F1250">
        <v>15.5</v>
      </c>
      <c r="G1250">
        <f>F1250*E1250</f>
        <v>4.9445</v>
      </c>
      <c r="H1250">
        <v>2</v>
      </c>
      <c r="I1250">
        <f>H1250*G1250</f>
        <v>9.889</v>
      </c>
      <c r="J1250">
        <f>SUM(I1247:I1250)</f>
        <v>20.735</v>
      </c>
      <c r="K1250" t="s">
        <v>149</v>
      </c>
    </row>
    <row r="1252" spans="2:18" ht="16.5" thickBot="1">
      <c r="B1252" s="513"/>
      <c r="C1252" s="513"/>
      <c r="D1252" s="513"/>
      <c r="E1252" s="513"/>
      <c r="F1252" s="513"/>
      <c r="G1252" s="513"/>
      <c r="H1252" s="513"/>
      <c r="I1252" s="513"/>
      <c r="J1252" s="513"/>
      <c r="K1252" s="513"/>
      <c r="L1252" s="513"/>
      <c r="M1252" s="513"/>
      <c r="N1252" s="513"/>
      <c r="O1252" s="513"/>
      <c r="P1252" s="513"/>
      <c r="Q1252" s="513"/>
      <c r="R1252" s="513"/>
    </row>
    <row r="1253" spans="2:18" ht="16.5" thickTop="1">
      <c r="B1253" s="514"/>
      <c r="C1253" s="514"/>
      <c r="D1253" s="514"/>
      <c r="E1253" s="514"/>
      <c r="F1253" s="514"/>
      <c r="G1253" s="514"/>
      <c r="H1253" s="514"/>
      <c r="I1253" s="514"/>
      <c r="J1253" s="514"/>
      <c r="K1253" s="514"/>
      <c r="L1253" s="514"/>
      <c r="M1253" s="514"/>
      <c r="N1253" s="514"/>
      <c r="O1253" s="514"/>
      <c r="P1253" s="514"/>
      <c r="Q1253" s="514"/>
      <c r="R1253" s="514"/>
    </row>
    <row r="1255" ht="15.75">
      <c r="C1255" s="54" t="s">
        <v>737</v>
      </c>
    </row>
    <row r="1256" spans="3:10" ht="15.75">
      <c r="C1256" s="19" t="s">
        <v>217</v>
      </c>
      <c r="D1256">
        <f>0.25*3.14</f>
        <v>0.785</v>
      </c>
      <c r="E1256">
        <v>0.4</v>
      </c>
      <c r="F1256">
        <v>3</v>
      </c>
      <c r="G1256" s="521">
        <f>D1256*E1256^2*F1256</f>
        <v>0.3768</v>
      </c>
      <c r="H1256">
        <v>3</v>
      </c>
      <c r="I1256" s="521">
        <f>H1256*G1256</f>
        <v>1.1304</v>
      </c>
      <c r="J1256" s="521">
        <f>I1256</f>
        <v>1.1304</v>
      </c>
    </row>
    <row r="1257" spans="3:10" ht="15.75">
      <c r="C1257" s="19" t="s">
        <v>739</v>
      </c>
      <c r="D1257">
        <f>0.25*3.14</f>
        <v>0.785</v>
      </c>
      <c r="E1257">
        <v>0.4</v>
      </c>
      <c r="F1257">
        <v>3</v>
      </c>
      <c r="G1257" s="521">
        <f>D1257*E1257^2*F1257</f>
        <v>0.3768</v>
      </c>
      <c r="H1257">
        <v>3</v>
      </c>
      <c r="I1257" s="521">
        <f>H1257*G1257</f>
        <v>1.1304</v>
      </c>
      <c r="J1257" s="521">
        <f aca="true" t="shared" si="107" ref="J1257:J1263">I1257</f>
        <v>1.1304</v>
      </c>
    </row>
    <row r="1258" spans="3:10" ht="15.75">
      <c r="C1258" s="19" t="s">
        <v>740</v>
      </c>
      <c r="D1258">
        <v>6</v>
      </c>
      <c r="E1258">
        <v>11.92</v>
      </c>
      <c r="F1258">
        <v>1</v>
      </c>
      <c r="G1258" s="521">
        <f aca="true" t="shared" si="108" ref="G1258:G1268">D1258*E1258*F1258</f>
        <v>71.52</v>
      </c>
      <c r="H1258">
        <v>3</v>
      </c>
      <c r="I1258" s="521">
        <f aca="true" t="shared" si="109" ref="I1258:I1268">H1258*G1258</f>
        <v>214.56</v>
      </c>
      <c r="J1258" s="521">
        <f t="shared" si="107"/>
        <v>214.56</v>
      </c>
    </row>
    <row r="1259" spans="3:10" ht="15.75">
      <c r="C1259" s="19" t="s">
        <v>742</v>
      </c>
      <c r="D1259">
        <v>3</v>
      </c>
      <c r="E1259">
        <v>9.93</v>
      </c>
      <c r="F1259">
        <v>1</v>
      </c>
      <c r="G1259" s="521">
        <f t="shared" si="108"/>
        <v>29.79</v>
      </c>
      <c r="H1259">
        <v>3</v>
      </c>
      <c r="I1259" s="521">
        <f t="shared" si="109"/>
        <v>89.37</v>
      </c>
      <c r="J1259" s="521">
        <f t="shared" si="107"/>
        <v>89.37</v>
      </c>
    </row>
    <row r="1260" spans="3:10" ht="15.75">
      <c r="C1260" s="19" t="s">
        <v>743</v>
      </c>
      <c r="D1260">
        <v>1</v>
      </c>
      <c r="E1260">
        <v>9.93</v>
      </c>
      <c r="F1260">
        <v>10.5</v>
      </c>
      <c r="G1260" s="521">
        <f t="shared" si="108"/>
        <v>104.265</v>
      </c>
      <c r="H1260">
        <v>3</v>
      </c>
      <c r="I1260" s="521">
        <f t="shared" si="109"/>
        <v>312.795</v>
      </c>
      <c r="J1260" s="521">
        <f t="shared" si="107"/>
        <v>312.795</v>
      </c>
    </row>
    <row r="1261" spans="3:10" ht="15.75">
      <c r="C1261" s="19" t="s">
        <v>741</v>
      </c>
      <c r="D1261">
        <v>3.5</v>
      </c>
      <c r="E1261">
        <v>1.578</v>
      </c>
      <c r="F1261">
        <v>1</v>
      </c>
      <c r="G1261" s="521">
        <f t="shared" si="108"/>
        <v>5.523000000000001</v>
      </c>
      <c r="H1261">
        <v>3</v>
      </c>
      <c r="I1261" s="521">
        <f t="shared" si="109"/>
        <v>16.569000000000003</v>
      </c>
      <c r="J1261" s="521">
        <f t="shared" si="107"/>
        <v>16.569000000000003</v>
      </c>
    </row>
    <row r="1262" spans="3:10" ht="15.75">
      <c r="C1262" s="19" t="s">
        <v>5</v>
      </c>
      <c r="D1262">
        <v>0.4</v>
      </c>
      <c r="E1262">
        <v>0.4</v>
      </c>
      <c r="F1262">
        <v>0.6</v>
      </c>
      <c r="G1262" s="521">
        <f t="shared" si="108"/>
        <v>0.09600000000000002</v>
      </c>
      <c r="H1262">
        <v>3</v>
      </c>
      <c r="I1262" s="521">
        <f t="shared" si="109"/>
        <v>0.28800000000000003</v>
      </c>
      <c r="J1262" s="521">
        <f t="shared" si="107"/>
        <v>0.28800000000000003</v>
      </c>
    </row>
    <row r="1263" spans="3:10" ht="15.75">
      <c r="C1263" s="19" t="s">
        <v>6</v>
      </c>
      <c r="D1263">
        <v>0.4</v>
      </c>
      <c r="E1263">
        <v>4</v>
      </c>
      <c r="F1263">
        <v>0.5</v>
      </c>
      <c r="G1263" s="521">
        <f t="shared" si="108"/>
        <v>0.8</v>
      </c>
      <c r="H1263">
        <v>3</v>
      </c>
      <c r="I1263" s="521">
        <f t="shared" si="109"/>
        <v>2.4000000000000004</v>
      </c>
      <c r="J1263" s="521">
        <f t="shared" si="107"/>
        <v>2.4000000000000004</v>
      </c>
    </row>
    <row r="1264" spans="3:9" ht="15.75">
      <c r="C1264" s="19" t="s">
        <v>192</v>
      </c>
      <c r="D1264">
        <f>0.1*4+0.2*2</f>
        <v>0.8</v>
      </c>
      <c r="E1264">
        <v>5</v>
      </c>
      <c r="F1264">
        <v>3</v>
      </c>
      <c r="G1264" s="521">
        <f t="shared" si="108"/>
        <v>12</v>
      </c>
      <c r="H1264">
        <v>1</v>
      </c>
      <c r="I1264" s="521">
        <f t="shared" si="109"/>
        <v>12</v>
      </c>
    </row>
    <row r="1265" spans="3:9" ht="15.75">
      <c r="C1265" s="19"/>
      <c r="D1265">
        <f>0.15*2+0.1*2</f>
        <v>0.5</v>
      </c>
      <c r="E1265">
        <v>3</v>
      </c>
      <c r="F1265">
        <v>3</v>
      </c>
      <c r="G1265" s="521">
        <f t="shared" si="108"/>
        <v>4.5</v>
      </c>
      <c r="H1265">
        <v>1</v>
      </c>
      <c r="I1265" s="521">
        <f t="shared" si="109"/>
        <v>4.5</v>
      </c>
    </row>
    <row r="1266" spans="3:10" ht="15.75">
      <c r="C1266" s="19"/>
      <c r="D1266">
        <f>0.15*2+0.1*2</f>
        <v>0.5</v>
      </c>
      <c r="E1266">
        <v>10.5</v>
      </c>
      <c r="F1266">
        <v>3</v>
      </c>
      <c r="G1266" s="521">
        <f t="shared" si="108"/>
        <v>15.75</v>
      </c>
      <c r="H1266">
        <v>1</v>
      </c>
      <c r="I1266" s="521">
        <f t="shared" si="109"/>
        <v>15.75</v>
      </c>
      <c r="J1266" s="521">
        <f>SUM(I1264:I1266)</f>
        <v>32.25</v>
      </c>
    </row>
    <row r="1267" spans="3:10" ht="15.75">
      <c r="C1267" s="19" t="s">
        <v>745</v>
      </c>
      <c r="D1267">
        <v>0.4</v>
      </c>
      <c r="E1267">
        <v>4</v>
      </c>
      <c r="F1267">
        <v>0.5</v>
      </c>
      <c r="G1267" s="521">
        <f t="shared" si="108"/>
        <v>0.8</v>
      </c>
      <c r="H1267">
        <v>3</v>
      </c>
      <c r="I1267" s="521">
        <f t="shared" si="109"/>
        <v>2.4000000000000004</v>
      </c>
      <c r="J1267" s="521">
        <f>I1267</f>
        <v>2.4000000000000004</v>
      </c>
    </row>
    <row r="1268" spans="3:10" ht="15.75">
      <c r="C1268" s="19" t="s">
        <v>744</v>
      </c>
      <c r="D1268">
        <v>10.5</v>
      </c>
      <c r="E1268">
        <v>3</v>
      </c>
      <c r="F1268">
        <v>1</v>
      </c>
      <c r="G1268" s="521">
        <f t="shared" si="108"/>
        <v>31.5</v>
      </c>
      <c r="H1268">
        <v>1</v>
      </c>
      <c r="I1268" s="521">
        <f t="shared" si="109"/>
        <v>31.5</v>
      </c>
      <c r="J1268" s="521">
        <f>I1268</f>
        <v>31.5</v>
      </c>
    </row>
    <row r="1270" spans="2:18" ht="15.75">
      <c r="B1270" s="329"/>
      <c r="C1270" s="329"/>
      <c r="D1270" s="329"/>
      <c r="E1270" s="329"/>
      <c r="F1270" s="329"/>
      <c r="G1270" s="329"/>
      <c r="H1270" s="329"/>
      <c r="I1270" s="329"/>
      <c r="J1270" s="329"/>
      <c r="K1270" s="329"/>
      <c r="L1270" s="329"/>
      <c r="M1270" s="329"/>
      <c r="N1270" s="329"/>
      <c r="O1270" s="329"/>
      <c r="P1270" s="329"/>
      <c r="Q1270" s="329"/>
      <c r="R1270" s="329"/>
    </row>
    <row r="1271" spans="2:18" ht="15.75">
      <c r="B1271" s="324"/>
      <c r="C1271" s="324"/>
      <c r="D1271" s="324"/>
      <c r="E1271" s="324"/>
      <c r="F1271" s="324"/>
      <c r="G1271" s="324"/>
      <c r="H1271" s="324"/>
      <c r="I1271" s="324"/>
      <c r="J1271" s="324"/>
      <c r="K1271" s="324"/>
      <c r="L1271" s="324"/>
      <c r="M1271" s="324"/>
      <c r="N1271" s="324"/>
      <c r="O1271" s="324"/>
      <c r="P1271" s="324"/>
      <c r="Q1271" s="324"/>
      <c r="R1271" s="324"/>
    </row>
    <row r="1272" ht="15.75">
      <c r="C1272" t="s">
        <v>738</v>
      </c>
    </row>
    <row r="1273" spans="3:11" ht="15.75">
      <c r="C1273" s="13" t="s">
        <v>216</v>
      </c>
      <c r="D1273">
        <v>1.75</v>
      </c>
      <c r="E1273">
        <v>1.75</v>
      </c>
      <c r="F1273">
        <v>1.55</v>
      </c>
      <c r="G1273" s="521">
        <f>D1273*E1273*F1273</f>
        <v>4.746875</v>
      </c>
      <c r="H1273">
        <v>0.5</v>
      </c>
      <c r="I1273" s="521">
        <f>H1273*G1273</f>
        <v>2.3734375</v>
      </c>
      <c r="J1273" s="521">
        <f>I1273</f>
        <v>2.3734375</v>
      </c>
      <c r="K1273" s="521">
        <f>J1273</f>
        <v>2.3734375</v>
      </c>
    </row>
    <row r="1274" spans="3:11" ht="15.75">
      <c r="C1274" s="13" t="s">
        <v>111</v>
      </c>
      <c r="K1274" s="521">
        <f aca="true" t="shared" si="110" ref="K1274:K1279">J1274</f>
        <v>0</v>
      </c>
    </row>
    <row r="1275" spans="3:11" ht="15.75">
      <c r="C1275" s="13" t="s">
        <v>113</v>
      </c>
      <c r="D1275">
        <v>1.75</v>
      </c>
      <c r="E1275">
        <v>1.75</v>
      </c>
      <c r="F1275">
        <v>1.55</v>
      </c>
      <c r="G1275" s="521">
        <f>D1275*E1275*F1275</f>
        <v>4.746875</v>
      </c>
      <c r="H1275">
        <v>0.1</v>
      </c>
      <c r="I1275" s="521">
        <f aca="true" t="shared" si="111" ref="I1275:I1284">H1275*G1275</f>
        <v>0.47468750000000004</v>
      </c>
      <c r="J1275" s="521">
        <f aca="true" t="shared" si="112" ref="J1275:J1284">I1275</f>
        <v>0.47468750000000004</v>
      </c>
      <c r="K1275" s="521">
        <f t="shared" si="110"/>
        <v>0.47468750000000004</v>
      </c>
    </row>
    <row r="1276" spans="3:11" ht="15.75">
      <c r="C1276" s="13" t="s">
        <v>114</v>
      </c>
      <c r="D1276">
        <v>1.75</v>
      </c>
      <c r="E1276">
        <v>1.75</v>
      </c>
      <c r="F1276">
        <v>1.55</v>
      </c>
      <c r="G1276" s="521">
        <f>D1276*E1276*F1276</f>
        <v>4.746875</v>
      </c>
      <c r="H1276">
        <v>0.2</v>
      </c>
      <c r="I1276" s="521">
        <f t="shared" si="111"/>
        <v>0.9493750000000001</v>
      </c>
      <c r="J1276" s="521">
        <f t="shared" si="112"/>
        <v>0.9493750000000001</v>
      </c>
      <c r="K1276" s="521">
        <f t="shared" si="110"/>
        <v>0.9493750000000001</v>
      </c>
    </row>
    <row r="1277" spans="3:11" ht="15.75">
      <c r="C1277" s="13" t="s">
        <v>129</v>
      </c>
      <c r="D1277">
        <v>0.3</v>
      </c>
      <c r="E1277">
        <v>0.8</v>
      </c>
      <c r="F1277">
        <v>1.3</v>
      </c>
      <c r="G1277">
        <f>(D1277+E1277)/2*F1277</f>
        <v>0.7150000000000001</v>
      </c>
      <c r="H1277">
        <f>1.2*3</f>
        <v>3.5999999999999996</v>
      </c>
      <c r="I1277" s="521">
        <f t="shared" si="111"/>
        <v>2.574</v>
      </c>
      <c r="J1277" s="521">
        <f t="shared" si="112"/>
        <v>2.574</v>
      </c>
      <c r="K1277" s="521">
        <f t="shared" si="110"/>
        <v>2.574</v>
      </c>
    </row>
    <row r="1278" spans="3:11" ht="15.75">
      <c r="C1278" s="14" t="s">
        <v>286</v>
      </c>
      <c r="D1278">
        <v>0.12</v>
      </c>
      <c r="E1278">
        <v>0.2</v>
      </c>
      <c r="F1278">
        <v>1.2</v>
      </c>
      <c r="G1278" s="530">
        <f>F1278*E1278*D1278</f>
        <v>0.0288</v>
      </c>
      <c r="H1278">
        <v>3</v>
      </c>
      <c r="I1278" s="521">
        <f t="shared" si="111"/>
        <v>0.0864</v>
      </c>
      <c r="J1278" s="521">
        <f t="shared" si="112"/>
        <v>0.0864</v>
      </c>
      <c r="K1278" s="521">
        <f t="shared" si="110"/>
        <v>0.0864</v>
      </c>
    </row>
    <row r="1279" spans="3:11" ht="15.75">
      <c r="C1279" s="13" t="s">
        <v>29</v>
      </c>
      <c r="D1279">
        <v>0.12</v>
      </c>
      <c r="E1279">
        <v>0.12</v>
      </c>
      <c r="F1279">
        <f>3.7+1</f>
        <v>4.7</v>
      </c>
      <c r="G1279" s="530">
        <f>F1279*E1279*D1279</f>
        <v>0.06767999999999999</v>
      </c>
      <c r="H1279">
        <v>3</v>
      </c>
      <c r="I1279" s="521">
        <f t="shared" si="111"/>
        <v>0.20303999999999997</v>
      </c>
      <c r="J1279" s="521">
        <f t="shared" si="112"/>
        <v>0.20303999999999997</v>
      </c>
      <c r="K1279" s="521">
        <f t="shared" si="110"/>
        <v>0.20303999999999997</v>
      </c>
    </row>
    <row r="1280" spans="3:10" ht="15.75">
      <c r="C1280" s="13" t="s">
        <v>194</v>
      </c>
      <c r="D1280">
        <v>1.2</v>
      </c>
      <c r="E1280">
        <v>1.2</v>
      </c>
      <c r="F1280">
        <v>0.1</v>
      </c>
      <c r="G1280">
        <f>D1280*E1280/2*F1280</f>
        <v>0.072</v>
      </c>
      <c r="H1280">
        <v>1</v>
      </c>
      <c r="I1280" s="521">
        <f t="shared" si="111"/>
        <v>0.072</v>
      </c>
      <c r="J1280" s="521">
        <f t="shared" si="112"/>
        <v>0.072</v>
      </c>
    </row>
    <row r="1281" spans="3:11" ht="15.75">
      <c r="C1281" s="13"/>
      <c r="D1281">
        <v>1.6</v>
      </c>
      <c r="E1281">
        <v>1.6</v>
      </c>
      <c r="F1281">
        <v>0.1</v>
      </c>
      <c r="G1281">
        <f>D1281*E1281/2*F1281</f>
        <v>0.12800000000000003</v>
      </c>
      <c r="H1281">
        <v>1</v>
      </c>
      <c r="I1281" s="521">
        <f t="shared" si="111"/>
        <v>0.12800000000000003</v>
      </c>
      <c r="J1281" s="521">
        <f t="shared" si="112"/>
        <v>0.12800000000000003</v>
      </c>
      <c r="K1281" s="521">
        <f>SUM(J1280:J1281)</f>
        <v>0.2</v>
      </c>
    </row>
    <row r="1282" spans="3:11" ht="15.75">
      <c r="C1282" s="14" t="s">
        <v>5</v>
      </c>
      <c r="D1282">
        <v>1.2</v>
      </c>
      <c r="E1282">
        <v>3.7</v>
      </c>
      <c r="F1282">
        <v>1</v>
      </c>
      <c r="G1282">
        <f>D1282*E1282/2*F1282</f>
        <v>2.22</v>
      </c>
      <c r="H1282">
        <v>3</v>
      </c>
      <c r="I1282" s="521">
        <f t="shared" si="111"/>
        <v>6.66</v>
      </c>
      <c r="J1282" s="521">
        <f t="shared" si="112"/>
        <v>6.66</v>
      </c>
      <c r="K1282" s="521">
        <f>J1282</f>
        <v>6.66</v>
      </c>
    </row>
    <row r="1283" spans="3:11" ht="15.75">
      <c r="C1283" s="14" t="s">
        <v>6</v>
      </c>
      <c r="D1283">
        <v>1.2</v>
      </c>
      <c r="E1283">
        <v>3.7</v>
      </c>
      <c r="F1283">
        <v>1</v>
      </c>
      <c r="G1283">
        <f>D1283*E1283/2*F1283</f>
        <v>2.22</v>
      </c>
      <c r="H1283">
        <v>3</v>
      </c>
      <c r="I1283" s="521">
        <f t="shared" si="111"/>
        <v>6.66</v>
      </c>
      <c r="J1283" s="521">
        <f t="shared" si="112"/>
        <v>6.66</v>
      </c>
      <c r="K1283" s="521">
        <f>J1283</f>
        <v>6.66</v>
      </c>
    </row>
    <row r="1284" spans="3:11" ht="15.75">
      <c r="C1284" s="13" t="s">
        <v>746</v>
      </c>
      <c r="D1284">
        <v>1.2</v>
      </c>
      <c r="E1284">
        <v>3.7</v>
      </c>
      <c r="F1284">
        <v>1</v>
      </c>
      <c r="G1284">
        <f>D1284*E1284/2*F1284</f>
        <v>2.22</v>
      </c>
      <c r="H1284">
        <v>3</v>
      </c>
      <c r="I1284" s="521">
        <f t="shared" si="111"/>
        <v>6.66</v>
      </c>
      <c r="J1284" s="521">
        <f t="shared" si="112"/>
        <v>6.66</v>
      </c>
      <c r="K1284" s="521">
        <f>J1284</f>
        <v>6.66</v>
      </c>
    </row>
  </sheetData>
  <sheetProtection/>
  <mergeCells count="92">
    <mergeCell ref="D863:F863"/>
    <mergeCell ref="G863:J863"/>
    <mergeCell ref="J864:K864"/>
    <mergeCell ref="J995:K995"/>
    <mergeCell ref="D903:E903"/>
    <mergeCell ref="D904:E904"/>
    <mergeCell ref="D927:E927"/>
    <mergeCell ref="D928:E928"/>
    <mergeCell ref="D1059:F1059"/>
    <mergeCell ref="G1059:J1059"/>
    <mergeCell ref="J1060:K1060"/>
    <mergeCell ref="E967:F967"/>
    <mergeCell ref="E968:F968"/>
    <mergeCell ref="D994:F994"/>
    <mergeCell ref="G994:J994"/>
    <mergeCell ref="P720:Q720"/>
    <mergeCell ref="R720:S720"/>
    <mergeCell ref="E720:F720"/>
    <mergeCell ref="G720:H720"/>
    <mergeCell ref="I720:J720"/>
    <mergeCell ref="N720:O720"/>
    <mergeCell ref="D689:E689"/>
    <mergeCell ref="M689:N689"/>
    <mergeCell ref="D690:E690"/>
    <mergeCell ref="M690:N690"/>
    <mergeCell ref="D568:E568"/>
    <mergeCell ref="M568:N568"/>
    <mergeCell ref="D569:E569"/>
    <mergeCell ref="M569:N569"/>
    <mergeCell ref="P434:S434"/>
    <mergeCell ref="J435:K435"/>
    <mergeCell ref="S435:T435"/>
    <mergeCell ref="E540:F540"/>
    <mergeCell ref="G540:H540"/>
    <mergeCell ref="I540:J540"/>
    <mergeCell ref="G539:H539"/>
    <mergeCell ref="E539:F539"/>
    <mergeCell ref="E346:F346"/>
    <mergeCell ref="N346:O346"/>
    <mergeCell ref="D434:F434"/>
    <mergeCell ref="G434:J434"/>
    <mergeCell ref="M434:O434"/>
    <mergeCell ref="E347:F347"/>
    <mergeCell ref="N347:O347"/>
    <mergeCell ref="E236:F236"/>
    <mergeCell ref="N236:O236"/>
    <mergeCell ref="E237:F237"/>
    <mergeCell ref="N237:O237"/>
    <mergeCell ref="E196:F196"/>
    <mergeCell ref="N196:O196"/>
    <mergeCell ref="E197:F197"/>
    <mergeCell ref="N197:O197"/>
    <mergeCell ref="J38:K38"/>
    <mergeCell ref="D182:E182"/>
    <mergeCell ref="M182:N182"/>
    <mergeCell ref="D184:E184"/>
    <mergeCell ref="M184:N184"/>
    <mergeCell ref="D181:E181"/>
    <mergeCell ref="I181:J181"/>
    <mergeCell ref="M181:N181"/>
    <mergeCell ref="D104:F104"/>
    <mergeCell ref="R181:S181"/>
    <mergeCell ref="S104:U104"/>
    <mergeCell ref="J105:K105"/>
    <mergeCell ref="I180:J180"/>
    <mergeCell ref="R180:S180"/>
    <mergeCell ref="G104:J104"/>
    <mergeCell ref="L104:P104"/>
    <mergeCell ref="W14:Y14"/>
    <mergeCell ref="J15:K15"/>
    <mergeCell ref="D37:F37"/>
    <mergeCell ref="G37:J37"/>
    <mergeCell ref="L37:O37"/>
    <mergeCell ref="P37:Q37"/>
    <mergeCell ref="T37:U37"/>
    <mergeCell ref="P2:Q2"/>
    <mergeCell ref="R2:T2"/>
    <mergeCell ref="D14:F14"/>
    <mergeCell ref="G14:J14"/>
    <mergeCell ref="L14:O14"/>
    <mergeCell ref="P14:Q14"/>
    <mergeCell ref="R14:S14"/>
    <mergeCell ref="T14:U14"/>
    <mergeCell ref="J828:K828"/>
    <mergeCell ref="E801:F801"/>
    <mergeCell ref="E802:F802"/>
    <mergeCell ref="D746:E746"/>
    <mergeCell ref="D747:E747"/>
    <mergeCell ref="D770:E770"/>
    <mergeCell ref="D771:E771"/>
    <mergeCell ref="D827:F827"/>
    <mergeCell ref="G827:J827"/>
  </mergeCells>
  <printOptions/>
  <pageMargins left="0.75" right="0.75" top="1" bottom="1" header="0.5" footer="0.5"/>
  <pageSetup horizontalDpi="300" verticalDpi="300" orientation="landscape" paperSize="9" scale="60" r:id="rId1"/>
  <rowBreaks count="2" manualBreakCount="2">
    <brk id="34" min="2" max="20" man="1"/>
    <brk id="102" min="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C1:S72"/>
  <sheetViews>
    <sheetView view="pageBreakPreview" zoomScaleSheetLayoutView="100" zoomScalePageLayoutView="0" workbookViewId="0" topLeftCell="B1">
      <selection activeCell="F10" sqref="F10"/>
    </sheetView>
  </sheetViews>
  <sheetFormatPr defaultColWidth="8.88671875" defaultRowHeight="15.75"/>
  <cols>
    <col min="1" max="2" width="8.88671875" style="533" customWidth="1"/>
    <col min="3" max="3" width="6.4453125" style="533" customWidth="1"/>
    <col min="4" max="4" width="1.88671875" style="533" customWidth="1"/>
    <col min="5" max="5" width="3.4453125" style="533" customWidth="1"/>
    <col min="6" max="6" width="5.6640625" style="533" customWidth="1"/>
    <col min="7" max="7" width="8.99609375" style="533" bestFit="1" customWidth="1"/>
    <col min="8" max="8" width="6.21484375" style="533" customWidth="1"/>
    <col min="9" max="9" width="3.88671875" style="533" customWidth="1"/>
    <col min="10" max="10" width="4.77734375" style="533" customWidth="1"/>
    <col min="11" max="11" width="2.4453125" style="533" customWidth="1"/>
    <col min="12" max="12" width="14.10546875" style="533" customWidth="1"/>
    <col min="13" max="13" width="14.88671875" style="533" customWidth="1"/>
    <col min="14" max="14" width="18.77734375" style="533" customWidth="1"/>
    <col min="15" max="15" width="15.77734375" style="533" customWidth="1"/>
    <col min="16" max="16" width="8.88671875" style="533" customWidth="1"/>
    <col min="17" max="17" width="11.77734375" style="533" bestFit="1" customWidth="1"/>
    <col min="18" max="16384" width="8.88671875" style="533" customWidth="1"/>
  </cols>
  <sheetData>
    <row r="1" spans="3:19" s="1" customFormat="1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S1" s="2"/>
    </row>
    <row r="2" spans="3:19" s="1" customFormat="1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S2" s="2"/>
    </row>
    <row r="3" spans="3:19" s="1" customFormat="1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S3" s="2"/>
    </row>
    <row r="4" spans="3:19" s="1" customFormat="1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S4" s="2"/>
    </row>
    <row r="5" spans="3:19" s="1" customFormat="1" ht="12.7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S5" s="2"/>
    </row>
    <row r="6" spans="3:19" s="1" customFormat="1" ht="12.7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S6" s="2"/>
    </row>
    <row r="7" spans="3:19" s="1" customFormat="1" ht="18">
      <c r="C7" s="1114" t="s">
        <v>823</v>
      </c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S7" s="2"/>
    </row>
    <row r="8" spans="3:19" s="1" customFormat="1" ht="14.25">
      <c r="C8" s="887"/>
      <c r="D8" s="895"/>
      <c r="E8" s="895"/>
      <c r="F8" s="887"/>
      <c r="G8" s="895"/>
      <c r="H8" s="895"/>
      <c r="I8" s="895"/>
      <c r="J8" s="895"/>
      <c r="K8" s="895"/>
      <c r="L8" s="895"/>
      <c r="M8" s="895"/>
      <c r="N8" s="895"/>
      <c r="S8" s="2"/>
    </row>
    <row r="9" spans="3:19" s="1" customFormat="1" ht="14.25">
      <c r="C9" s="887" t="str">
        <f>RAB!C13</f>
        <v>PEKERJAAN</v>
      </c>
      <c r="D9" s="886"/>
      <c r="E9" s="886"/>
      <c r="F9" s="887" t="str">
        <f>RAB!F13</f>
        <v>: </v>
      </c>
      <c r="G9" s="886"/>
      <c r="H9" s="886"/>
      <c r="I9" s="886"/>
      <c r="J9" s="886"/>
      <c r="K9" s="886"/>
      <c r="L9" s="886"/>
      <c r="M9" s="886"/>
      <c r="N9" s="895"/>
      <c r="S9" s="2"/>
    </row>
    <row r="10" spans="3:19" s="1" customFormat="1" ht="14.25">
      <c r="C10" s="887" t="str">
        <f>RAB!C14</f>
        <v>LOKASI</v>
      </c>
      <c r="D10" s="886"/>
      <c r="E10" s="886"/>
      <c r="F10" s="887" t="str">
        <f>RAB!F14</f>
        <v>: </v>
      </c>
      <c r="G10" s="886"/>
      <c r="H10" s="886"/>
      <c r="I10" s="886"/>
      <c r="J10" s="886"/>
      <c r="K10" s="886"/>
      <c r="L10" s="886"/>
      <c r="M10" s="886"/>
      <c r="N10" s="895"/>
      <c r="S10" s="2"/>
    </row>
    <row r="11" spans="3:19" s="1" customFormat="1" ht="14.25">
      <c r="C11" s="887" t="str">
        <f>RAB!C15</f>
        <v>TAHUN</v>
      </c>
      <c r="D11" s="895"/>
      <c r="E11" s="895"/>
      <c r="F11" s="887">
        <f>RAB!F15</f>
        <v>0</v>
      </c>
      <c r="G11" s="895"/>
      <c r="H11" s="895"/>
      <c r="I11" s="895"/>
      <c r="J11" s="895"/>
      <c r="K11" s="895"/>
      <c r="L11" s="895"/>
      <c r="M11" s="895"/>
      <c r="N11" s="895"/>
      <c r="S11" s="2"/>
    </row>
    <row r="12" spans="3:19" s="1" customFormat="1" ht="14.25"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S12" s="2"/>
    </row>
    <row r="13" spans="3:19" s="1" customFormat="1" ht="14.25">
      <c r="C13" s="897"/>
      <c r="D13" s="897"/>
      <c r="E13" s="898"/>
      <c r="F13" s="898"/>
      <c r="G13" s="898"/>
      <c r="H13" s="898"/>
      <c r="I13" s="898"/>
      <c r="J13" s="898"/>
      <c r="K13" s="898"/>
      <c r="L13" s="898"/>
      <c r="M13" s="898"/>
      <c r="N13" s="899"/>
      <c r="S13" s="2"/>
    </row>
    <row r="14" spans="3:19" s="1" customFormat="1" ht="14.25">
      <c r="C14" s="900" t="s">
        <v>344</v>
      </c>
      <c r="D14" s="901"/>
      <c r="E14" s="902" t="s">
        <v>276</v>
      </c>
      <c r="F14" s="903"/>
      <c r="G14" s="903"/>
      <c r="H14" s="903"/>
      <c r="I14" s="903"/>
      <c r="J14" s="903"/>
      <c r="K14" s="903"/>
      <c r="L14" s="903"/>
      <c r="M14" s="903"/>
      <c r="N14" s="971">
        <f>RAB!N20</f>
        <v>1500000</v>
      </c>
      <c r="S14" s="2"/>
    </row>
    <row r="15" spans="3:19" s="1" customFormat="1" ht="6.75" customHeight="1">
      <c r="C15" s="901"/>
      <c r="D15" s="901"/>
      <c r="E15" s="903"/>
      <c r="F15" s="903"/>
      <c r="G15" s="903"/>
      <c r="H15" s="903"/>
      <c r="I15" s="903"/>
      <c r="J15" s="903"/>
      <c r="K15" s="903"/>
      <c r="L15" s="903"/>
      <c r="M15" s="903"/>
      <c r="N15" s="904"/>
      <c r="S15" s="2"/>
    </row>
    <row r="16" spans="3:19" s="1" customFormat="1" ht="14.25">
      <c r="C16" s="900" t="s">
        <v>496</v>
      </c>
      <c r="D16" s="901"/>
      <c r="E16" s="902" t="s">
        <v>621</v>
      </c>
      <c r="F16" s="903"/>
      <c r="G16" s="903"/>
      <c r="H16" s="903"/>
      <c r="I16" s="903"/>
      <c r="J16" s="903"/>
      <c r="K16" s="903"/>
      <c r="L16" s="903"/>
      <c r="M16" s="903"/>
      <c r="N16" s="904"/>
      <c r="S16" s="2"/>
    </row>
    <row r="17" spans="3:19" s="1" customFormat="1" ht="14.25">
      <c r="C17" s="905"/>
      <c r="D17" s="901"/>
      <c r="E17" s="906" t="s">
        <v>219</v>
      </c>
      <c r="F17" s="907" t="s">
        <v>628</v>
      </c>
      <c r="G17" s="903"/>
      <c r="H17" s="903"/>
      <c r="I17" s="903"/>
      <c r="J17" s="903"/>
      <c r="K17" s="903"/>
      <c r="L17" s="903"/>
      <c r="M17" s="970">
        <f>+RAB!N32</f>
        <v>34847744.6964</v>
      </c>
      <c r="N17" s="904"/>
      <c r="S17" s="2"/>
    </row>
    <row r="18" spans="3:19" s="1" customFormat="1" ht="14.25">
      <c r="C18" s="908"/>
      <c r="D18" s="901"/>
      <c r="E18" s="906" t="s">
        <v>188</v>
      </c>
      <c r="F18" s="909" t="s">
        <v>629</v>
      </c>
      <c r="G18" s="903"/>
      <c r="H18" s="903"/>
      <c r="I18" s="903"/>
      <c r="J18" s="903"/>
      <c r="K18" s="903"/>
      <c r="L18" s="903"/>
      <c r="M18" s="970">
        <f>RAB!N43</f>
        <v>29407372.0734411</v>
      </c>
      <c r="N18" s="904"/>
      <c r="S18" s="2"/>
    </row>
    <row r="19" spans="3:19" s="1" customFormat="1" ht="14.25">
      <c r="C19" s="908"/>
      <c r="D19" s="901"/>
      <c r="E19" s="906" t="s">
        <v>189</v>
      </c>
      <c r="F19" s="907" t="s">
        <v>627</v>
      </c>
      <c r="G19" s="903"/>
      <c r="H19" s="903"/>
      <c r="I19" s="903"/>
      <c r="J19" s="903"/>
      <c r="K19" s="903"/>
      <c r="L19" s="903"/>
      <c r="M19" s="910">
        <f>+RAB!N58</f>
        <v>46507760</v>
      </c>
      <c r="N19" s="904"/>
      <c r="S19" s="2"/>
    </row>
    <row r="20" spans="3:19" s="1" customFormat="1" ht="14.25">
      <c r="C20" s="908"/>
      <c r="D20" s="911"/>
      <c r="E20" s="906" t="s">
        <v>8</v>
      </c>
      <c r="F20" s="907" t="s">
        <v>290</v>
      </c>
      <c r="G20" s="903"/>
      <c r="H20" s="903"/>
      <c r="I20" s="903"/>
      <c r="J20" s="903"/>
      <c r="K20" s="903"/>
      <c r="L20" s="903"/>
      <c r="M20" s="910">
        <f>RAB!N76</f>
        <v>34910109.072</v>
      </c>
      <c r="N20" s="904"/>
      <c r="S20" s="2"/>
    </row>
    <row r="21" spans="3:19" s="1" customFormat="1" ht="14.25">
      <c r="C21" s="901"/>
      <c r="D21" s="901"/>
      <c r="E21" s="906" t="s">
        <v>309</v>
      </c>
      <c r="F21" s="13" t="s">
        <v>295</v>
      </c>
      <c r="G21" s="903"/>
      <c r="H21" s="903"/>
      <c r="I21" s="903"/>
      <c r="J21" s="903"/>
      <c r="K21" s="903"/>
      <c r="L21" s="903"/>
      <c r="M21" s="910">
        <f>RAB!N86</f>
        <v>20462139.3</v>
      </c>
      <c r="N21" s="904"/>
      <c r="S21" s="2"/>
    </row>
    <row r="22" spans="3:19" s="1" customFormat="1" ht="14.25">
      <c r="C22" s="908"/>
      <c r="D22" s="901"/>
      <c r="E22" s="906" t="s">
        <v>507</v>
      </c>
      <c r="F22" s="13" t="s">
        <v>298</v>
      </c>
      <c r="G22" s="903"/>
      <c r="H22" s="903"/>
      <c r="I22" s="903"/>
      <c r="J22" s="903"/>
      <c r="K22" s="903"/>
      <c r="L22" s="903"/>
      <c r="M22" s="910">
        <f>RAB!N105</f>
        <v>19824169</v>
      </c>
      <c r="N22" s="904"/>
      <c r="S22" s="2"/>
    </row>
    <row r="23" spans="3:19" s="1" customFormat="1" ht="14.25">
      <c r="C23" s="908"/>
      <c r="D23" s="901"/>
      <c r="E23" s="13" t="s">
        <v>579</v>
      </c>
      <c r="F23" s="13" t="s">
        <v>299</v>
      </c>
      <c r="G23" s="903"/>
      <c r="H23" s="903"/>
      <c r="I23" s="903"/>
      <c r="J23" s="903"/>
      <c r="K23" s="903"/>
      <c r="L23" s="903"/>
      <c r="M23" s="910">
        <f>RAB!N136</f>
        <v>11057830.399999999</v>
      </c>
      <c r="N23" s="904"/>
      <c r="S23" s="2"/>
    </row>
    <row r="24" spans="3:19" s="1" customFormat="1" ht="14.25">
      <c r="C24" s="908"/>
      <c r="D24" s="901"/>
      <c r="E24" s="13" t="s">
        <v>324</v>
      </c>
      <c r="F24" s="13" t="s">
        <v>303</v>
      </c>
      <c r="G24" s="903"/>
      <c r="H24" s="903"/>
      <c r="I24" s="903"/>
      <c r="J24" s="903"/>
      <c r="K24" s="903"/>
      <c r="L24" s="903"/>
      <c r="M24" s="912">
        <f>RAB!N144</f>
        <v>8565696.608</v>
      </c>
      <c r="N24" s="913"/>
      <c r="S24" s="2"/>
    </row>
    <row r="25" spans="3:19" s="1" customFormat="1" ht="14.25">
      <c r="C25" s="908"/>
      <c r="D25" s="901"/>
      <c r="E25" s="13" t="s">
        <v>344</v>
      </c>
      <c r="F25" s="14" t="s">
        <v>305</v>
      </c>
      <c r="G25" s="903"/>
      <c r="H25" s="903"/>
      <c r="I25" s="903"/>
      <c r="J25" s="903"/>
      <c r="K25" s="903"/>
      <c r="L25" s="903"/>
      <c r="M25" s="914">
        <f>RAB!N151</f>
        <v>13971910.972</v>
      </c>
      <c r="N25" s="913"/>
      <c r="O25" s="1">
        <f>+N25*1.1/566</f>
        <v>0</v>
      </c>
      <c r="S25" s="2"/>
    </row>
    <row r="26" spans="3:19" s="1" customFormat="1" ht="14.25">
      <c r="C26" s="908"/>
      <c r="D26" s="901"/>
      <c r="E26" s="13" t="s">
        <v>584</v>
      </c>
      <c r="F26" s="14" t="s">
        <v>1264</v>
      </c>
      <c r="G26" s="903"/>
      <c r="H26" s="903"/>
      <c r="I26" s="903"/>
      <c r="J26" s="903"/>
      <c r="K26" s="903"/>
      <c r="L26" s="903"/>
      <c r="M26" s="914">
        <f>+RAB!N165</f>
        <v>0</v>
      </c>
      <c r="N26" s="913"/>
      <c r="O26" s="1">
        <f>+N26*1.1/566</f>
        <v>0</v>
      </c>
      <c r="S26" s="2"/>
    </row>
    <row r="27" spans="3:19" s="1" customFormat="1" ht="14.25">
      <c r="C27" s="908"/>
      <c r="D27" s="901"/>
      <c r="E27" s="13" t="s">
        <v>1262</v>
      </c>
      <c r="F27" s="14" t="s">
        <v>622</v>
      </c>
      <c r="G27" s="903"/>
      <c r="H27" s="903"/>
      <c r="I27" s="903"/>
      <c r="J27" s="903"/>
      <c r="K27" s="903"/>
      <c r="L27" s="903"/>
      <c r="M27" s="914">
        <f>+RAB!N259</f>
        <v>0</v>
      </c>
      <c r="N27" s="913">
        <f>SUM(M17:M27)</f>
        <v>219554732.12184113</v>
      </c>
      <c r="O27" s="1">
        <f>+N27*1.1/566</f>
        <v>426696.4758551683</v>
      </c>
      <c r="S27" s="2"/>
    </row>
    <row r="28" spans="3:19" s="1" customFormat="1" ht="8.25" customHeight="1">
      <c r="C28" s="911"/>
      <c r="D28" s="901"/>
      <c r="E28" s="13"/>
      <c r="F28" s="13"/>
      <c r="G28" s="886"/>
      <c r="H28" s="886"/>
      <c r="I28" s="886"/>
      <c r="J28" s="886"/>
      <c r="K28" s="886"/>
      <c r="L28" s="886"/>
      <c r="M28" s="915"/>
      <c r="N28" s="913"/>
      <c r="S28" s="2"/>
    </row>
    <row r="29" spans="3:19" s="1" customFormat="1" ht="6.75" customHeight="1">
      <c r="C29" s="916"/>
      <c r="D29" s="901"/>
      <c r="E29" s="13"/>
      <c r="F29" s="13"/>
      <c r="G29" s="886"/>
      <c r="H29" s="886"/>
      <c r="I29" s="886"/>
      <c r="J29" s="886"/>
      <c r="K29" s="886"/>
      <c r="L29" s="886"/>
      <c r="M29" s="915"/>
      <c r="N29" s="913"/>
      <c r="S29" s="2"/>
    </row>
    <row r="30" spans="3:19" s="1" customFormat="1" ht="8.25" customHeight="1">
      <c r="C30" s="916"/>
      <c r="D30" s="901"/>
      <c r="E30" s="13"/>
      <c r="F30" s="13"/>
      <c r="G30" s="886"/>
      <c r="H30" s="886"/>
      <c r="I30" s="886"/>
      <c r="J30" s="886"/>
      <c r="K30" s="886"/>
      <c r="L30" s="886"/>
      <c r="M30" s="915"/>
      <c r="N30" s="913"/>
      <c r="S30" s="2"/>
    </row>
    <row r="31" spans="3:19" s="1" customFormat="1" ht="3.75" customHeight="1">
      <c r="C31" s="916"/>
      <c r="D31" s="901"/>
      <c r="E31" s="13"/>
      <c r="F31" s="13"/>
      <c r="G31" s="886"/>
      <c r="H31" s="886"/>
      <c r="I31" s="886"/>
      <c r="J31" s="886"/>
      <c r="K31" s="886"/>
      <c r="L31" s="886"/>
      <c r="M31" s="915"/>
      <c r="N31" s="913"/>
      <c r="S31" s="2"/>
    </row>
    <row r="32" spans="3:19" s="1" customFormat="1" ht="14.25">
      <c r="C32" s="917"/>
      <c r="D32" s="901"/>
      <c r="E32" s="13"/>
      <c r="F32" s="13"/>
      <c r="G32" s="886"/>
      <c r="H32" s="886"/>
      <c r="I32" s="886"/>
      <c r="J32" s="886"/>
      <c r="K32" s="886"/>
      <c r="L32" s="886"/>
      <c r="M32" s="915"/>
      <c r="N32" s="913">
        <f>SUM(M32:M32)</f>
        <v>0</v>
      </c>
      <c r="S32" s="2"/>
    </row>
    <row r="33" spans="3:19" s="1" customFormat="1" ht="3.75" customHeight="1">
      <c r="C33" s="911"/>
      <c r="D33" s="901"/>
      <c r="E33" s="13"/>
      <c r="F33" s="13"/>
      <c r="G33" s="886"/>
      <c r="H33" s="886"/>
      <c r="I33" s="886"/>
      <c r="J33" s="886"/>
      <c r="K33" s="886"/>
      <c r="L33" s="886"/>
      <c r="M33" s="915"/>
      <c r="N33" s="913"/>
      <c r="S33" s="2"/>
    </row>
    <row r="34" spans="3:19" s="1" customFormat="1" ht="14.25">
      <c r="C34" s="916" t="s">
        <v>504</v>
      </c>
      <c r="D34" s="920"/>
      <c r="E34" s="921" t="s">
        <v>508</v>
      </c>
      <c r="F34" s="13"/>
      <c r="G34" s="886"/>
      <c r="H34" s="886"/>
      <c r="I34" s="886"/>
      <c r="J34" s="886"/>
      <c r="K34" s="886"/>
      <c r="L34" s="886"/>
      <c r="M34" s="915"/>
      <c r="N34" s="913"/>
      <c r="S34" s="2"/>
    </row>
    <row r="35" spans="3:19" s="1" customFormat="1" ht="14.25">
      <c r="C35" s="908"/>
      <c r="D35" s="901"/>
      <c r="E35" s="922" t="s">
        <v>219</v>
      </c>
      <c r="F35" s="14" t="s">
        <v>779</v>
      </c>
      <c r="G35" s="886"/>
      <c r="H35" s="886"/>
      <c r="I35" s="886"/>
      <c r="J35" s="886"/>
      <c r="K35" s="886"/>
      <c r="L35" s="886"/>
      <c r="M35" s="918">
        <f>RAB!N388</f>
        <v>7003650</v>
      </c>
      <c r="N35" s="913"/>
      <c r="S35" s="2"/>
    </row>
    <row r="36" spans="3:19" s="1" customFormat="1" ht="14.25">
      <c r="C36" s="916"/>
      <c r="D36" s="901"/>
      <c r="E36" s="922" t="s">
        <v>189</v>
      </c>
      <c r="F36" s="14" t="s">
        <v>505</v>
      </c>
      <c r="G36" s="886"/>
      <c r="H36" s="886"/>
      <c r="I36" s="886"/>
      <c r="J36" s="886"/>
      <c r="K36" s="886"/>
      <c r="L36" s="886"/>
      <c r="M36" s="918">
        <f>RAB!N429</f>
        <v>0</v>
      </c>
      <c r="N36" s="913"/>
      <c r="S36" s="2"/>
    </row>
    <row r="37" spans="3:19" s="1" customFormat="1" ht="14.25">
      <c r="C37" s="916"/>
      <c r="D37" s="901"/>
      <c r="E37" s="922" t="s">
        <v>8</v>
      </c>
      <c r="F37" s="886" t="s">
        <v>775</v>
      </c>
      <c r="G37" s="886"/>
      <c r="H37" s="886"/>
      <c r="I37" s="886"/>
      <c r="J37" s="886"/>
      <c r="K37" s="886"/>
      <c r="L37" s="886"/>
      <c r="M37" s="918">
        <f>+RAB!N441</f>
        <v>10074000</v>
      </c>
      <c r="N37" s="913"/>
      <c r="S37" s="2"/>
    </row>
    <row r="38" spans="3:19" s="1" customFormat="1" ht="14.25">
      <c r="C38" s="916"/>
      <c r="D38" s="901"/>
      <c r="E38" s="922" t="s">
        <v>309</v>
      </c>
      <c r="F38" s="886" t="s">
        <v>778</v>
      </c>
      <c r="G38" s="886"/>
      <c r="H38" s="886"/>
      <c r="I38" s="886"/>
      <c r="J38" s="886"/>
      <c r="K38" s="886"/>
      <c r="L38" s="886"/>
      <c r="M38" s="918">
        <f>RAB!N501</f>
        <v>0</v>
      </c>
      <c r="N38" s="913"/>
      <c r="S38" s="2"/>
    </row>
    <row r="39" spans="3:19" s="1" customFormat="1" ht="14.25">
      <c r="C39" s="916"/>
      <c r="D39" s="901"/>
      <c r="E39" s="922" t="s">
        <v>507</v>
      </c>
      <c r="F39" s="886" t="s">
        <v>877</v>
      </c>
      <c r="G39" s="886"/>
      <c r="H39" s="886"/>
      <c r="I39" s="886"/>
      <c r="J39" s="886"/>
      <c r="K39" s="886"/>
      <c r="L39" s="886"/>
      <c r="M39" s="918">
        <f>RAB!N510</f>
        <v>0</v>
      </c>
      <c r="N39" s="913"/>
      <c r="S39" s="2"/>
    </row>
    <row r="40" spans="3:19" s="1" customFormat="1" ht="14.25">
      <c r="C40" s="916"/>
      <c r="D40" s="901"/>
      <c r="E40" s="923" t="s">
        <v>579</v>
      </c>
      <c r="F40" s="886" t="s">
        <v>785</v>
      </c>
      <c r="G40" s="906"/>
      <c r="H40" s="906"/>
      <c r="I40" s="906"/>
      <c r="J40" s="906"/>
      <c r="K40" s="906"/>
      <c r="L40" s="906"/>
      <c r="M40" s="918">
        <f>RAB!N525</f>
        <v>0</v>
      </c>
      <c r="N40" s="913"/>
      <c r="S40" s="2"/>
    </row>
    <row r="41" spans="3:19" s="1" customFormat="1" ht="14.25">
      <c r="C41" s="916"/>
      <c r="D41" s="901"/>
      <c r="E41" s="924" t="s">
        <v>324</v>
      </c>
      <c r="F41" s="886" t="s">
        <v>784</v>
      </c>
      <c r="G41" s="886"/>
      <c r="H41" s="886"/>
      <c r="I41" s="886"/>
      <c r="J41" s="886"/>
      <c r="K41" s="886"/>
      <c r="L41" s="886"/>
      <c r="M41" s="918">
        <f>RAB!N539</f>
        <v>0</v>
      </c>
      <c r="N41" s="925"/>
      <c r="S41" s="2"/>
    </row>
    <row r="42" spans="3:19" s="1" customFormat="1" ht="14.25">
      <c r="C42" s="916"/>
      <c r="D42" s="901"/>
      <c r="E42" s="924" t="s">
        <v>344</v>
      </c>
      <c r="F42" s="886" t="s">
        <v>1064</v>
      </c>
      <c r="G42" s="886"/>
      <c r="H42" s="886"/>
      <c r="I42" s="886"/>
      <c r="J42" s="886"/>
      <c r="K42" s="886"/>
      <c r="L42" s="886"/>
      <c r="M42" s="918">
        <f>RAB!N550</f>
        <v>0</v>
      </c>
      <c r="N42" s="913">
        <f>SUM(M35:M42)</f>
        <v>17077650</v>
      </c>
      <c r="S42" s="2"/>
    </row>
    <row r="43" spans="3:19" s="1" customFormat="1" ht="14.25">
      <c r="C43" s="926"/>
      <c r="D43" s="926"/>
      <c r="E43" s="927"/>
      <c r="F43" s="927"/>
      <c r="G43" s="927"/>
      <c r="H43" s="927"/>
      <c r="I43" s="927"/>
      <c r="J43" s="927"/>
      <c r="K43" s="927"/>
      <c r="L43" s="927"/>
      <c r="M43" s="927"/>
      <c r="N43" s="928"/>
      <c r="S43" s="2"/>
    </row>
    <row r="44" spans="3:19" s="1" customFormat="1" ht="14.25">
      <c r="C44" s="929"/>
      <c r="D44" s="930"/>
      <c r="E44" s="930"/>
      <c r="F44" s="930"/>
      <c r="G44" s="930"/>
      <c r="H44" s="930"/>
      <c r="I44" s="930"/>
      <c r="J44" s="931" t="s">
        <v>306</v>
      </c>
      <c r="K44" s="930"/>
      <c r="M44" s="932"/>
      <c r="N44" s="933">
        <f>SUM(N13:N43)</f>
        <v>238132382.12184113</v>
      </c>
      <c r="S44" s="2"/>
    </row>
    <row r="45" spans="3:19" s="1" customFormat="1" ht="14.25">
      <c r="C45" s="905"/>
      <c r="D45" s="934"/>
      <c r="E45" s="934"/>
      <c r="F45" s="934"/>
      <c r="G45" s="934"/>
      <c r="H45" s="934"/>
      <c r="I45" s="902"/>
      <c r="J45" s="941" t="s">
        <v>801</v>
      </c>
      <c r="K45" s="942"/>
      <c r="L45" s="943"/>
      <c r="M45" s="944"/>
      <c r="N45" s="945">
        <f>N44*0.1</f>
        <v>23813238.212184116</v>
      </c>
      <c r="S45" s="2"/>
    </row>
    <row r="46" spans="3:19" s="1" customFormat="1" ht="14.25">
      <c r="C46" s="905"/>
      <c r="D46" s="934"/>
      <c r="E46" s="934"/>
      <c r="F46" s="934"/>
      <c r="G46" s="934"/>
      <c r="H46" s="934"/>
      <c r="I46" s="902"/>
      <c r="J46" s="13" t="s">
        <v>306</v>
      </c>
      <c r="K46" s="902"/>
      <c r="M46" s="919"/>
      <c r="N46" s="913">
        <f>N44+N45</f>
        <v>261945620.33402526</v>
      </c>
      <c r="S46" s="2"/>
    </row>
    <row r="47" spans="3:19" s="1" customFormat="1" ht="14.25">
      <c r="C47" s="905"/>
      <c r="D47" s="934"/>
      <c r="E47" s="934"/>
      <c r="F47" s="934"/>
      <c r="G47" s="934"/>
      <c r="H47" s="934"/>
      <c r="I47" s="902"/>
      <c r="J47" s="13" t="s">
        <v>462</v>
      </c>
      <c r="K47" s="902"/>
      <c r="M47" s="919"/>
      <c r="N47" s="913">
        <f>N44*6/1000</f>
        <v>1428794.2927310467</v>
      </c>
      <c r="S47" s="2"/>
    </row>
    <row r="48" spans="3:19" s="1" customFormat="1" ht="14.25">
      <c r="C48" s="905"/>
      <c r="D48" s="934"/>
      <c r="E48" s="934"/>
      <c r="F48" s="934"/>
      <c r="G48" s="934"/>
      <c r="H48" s="934"/>
      <c r="I48" s="902"/>
      <c r="J48" s="13" t="s">
        <v>1069</v>
      </c>
      <c r="K48" s="902"/>
      <c r="M48" s="919"/>
      <c r="N48" s="913"/>
      <c r="S48" s="2"/>
    </row>
    <row r="49" spans="3:19" s="1" customFormat="1" ht="14.25">
      <c r="C49" s="905"/>
      <c r="D49" s="934"/>
      <c r="E49" s="934"/>
      <c r="F49" s="934"/>
      <c r="G49" s="934"/>
      <c r="H49" s="934"/>
      <c r="I49" s="902"/>
      <c r="J49" s="13" t="s">
        <v>1100</v>
      </c>
      <c r="K49" s="902"/>
      <c r="M49" s="919"/>
      <c r="N49" s="913"/>
      <c r="S49" s="2"/>
    </row>
    <row r="50" spans="3:19" s="1" customFormat="1" ht="6.75" customHeight="1">
      <c r="C50" s="905"/>
      <c r="D50" s="934"/>
      <c r="E50" s="934"/>
      <c r="F50" s="934"/>
      <c r="G50" s="934"/>
      <c r="H50" s="934"/>
      <c r="I50" s="902"/>
      <c r="J50" s="942"/>
      <c r="K50" s="942"/>
      <c r="L50" s="941"/>
      <c r="M50" s="947"/>
      <c r="N50" s="945"/>
      <c r="S50" s="2"/>
    </row>
    <row r="51" spans="3:19" s="1" customFormat="1" ht="16.5" customHeight="1">
      <c r="C51" s="905"/>
      <c r="D51" s="934"/>
      <c r="E51" s="934"/>
      <c r="F51" s="934"/>
      <c r="G51" s="934"/>
      <c r="H51" s="934"/>
      <c r="I51" s="902"/>
      <c r="J51" s="902"/>
      <c r="K51" s="902"/>
      <c r="L51" s="54" t="s">
        <v>306</v>
      </c>
      <c r="M51" s="887"/>
      <c r="N51" s="946">
        <f>SUM(N46:N50)</f>
        <v>263374414.6267563</v>
      </c>
      <c r="S51" s="2"/>
    </row>
    <row r="52" spans="3:19" s="1" customFormat="1" ht="19.5" customHeight="1">
      <c r="C52" s="935"/>
      <c r="D52" s="936"/>
      <c r="E52" s="936"/>
      <c r="F52" s="936"/>
      <c r="G52" s="936"/>
      <c r="H52" s="936"/>
      <c r="I52" s="937"/>
      <c r="J52" s="937"/>
      <c r="K52" s="937"/>
      <c r="L52" s="938" t="s">
        <v>307</v>
      </c>
      <c r="M52" s="939"/>
      <c r="N52" s="940">
        <f>ROUND(N51/1000-0.5,0)*1000</f>
        <v>263374000</v>
      </c>
      <c r="O52" s="1">
        <v>2686000000</v>
      </c>
      <c r="S52" s="2"/>
    </row>
    <row r="53" spans="3:19" s="1" customFormat="1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45"/>
      <c r="O53" s="1">
        <f>+O52-N52</f>
        <v>2422626000</v>
      </c>
      <c r="S53" s="2"/>
    </row>
    <row r="54" spans="3:19" s="1" customFormat="1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20"/>
      <c r="S54" s="2"/>
    </row>
    <row r="55" spans="3:19" s="1" customFormat="1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720"/>
      <c r="S55" s="2"/>
    </row>
    <row r="56" spans="3:19" s="1" customFormat="1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1116"/>
      <c r="N56" s="1116"/>
      <c r="S56" s="2"/>
    </row>
    <row r="57" spans="3:19" s="1" customFormat="1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1115"/>
      <c r="N57" s="1115"/>
      <c r="S57" s="2"/>
    </row>
    <row r="58" spans="3:19" s="1" customFormat="1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20"/>
      <c r="S58" s="2"/>
    </row>
    <row r="59" spans="3:19" s="1" customFormat="1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720"/>
      <c r="S59" s="2"/>
    </row>
    <row r="60" spans="3:19" s="1" customFormat="1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20"/>
      <c r="S60" s="2"/>
    </row>
    <row r="61" spans="3:19" s="1" customFormat="1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720"/>
      <c r="S61" s="2"/>
    </row>
    <row r="62" spans="3:19" s="1" customFormat="1" ht="12.75">
      <c r="C62" s="2"/>
      <c r="D62" s="2"/>
      <c r="E62" s="2"/>
      <c r="F62" s="2"/>
      <c r="G62" s="2"/>
      <c r="H62" s="2"/>
      <c r="I62" s="2"/>
      <c r="J62" s="2"/>
      <c r="K62" s="2"/>
      <c r="L62" s="719" t="s">
        <v>804</v>
      </c>
      <c r="M62" s="719"/>
      <c r="N62" s="721"/>
      <c r="S62" s="2"/>
    </row>
    <row r="63" spans="3:19" s="1" customFormat="1" ht="12.75">
      <c r="C63" s="2"/>
      <c r="D63" s="2"/>
      <c r="E63" s="2"/>
      <c r="F63" s="2"/>
      <c r="G63" s="2"/>
      <c r="H63" s="2"/>
      <c r="I63" s="2"/>
      <c r="J63" s="2"/>
      <c r="K63" s="2"/>
      <c r="L63" s="719"/>
      <c r="M63" s="719"/>
      <c r="N63" s="721"/>
      <c r="S63" s="2"/>
    </row>
    <row r="64" spans="3:19" s="1" customFormat="1" ht="12.75">
      <c r="C64" s="2"/>
      <c r="D64" s="2"/>
      <c r="E64" s="2"/>
      <c r="F64" s="2"/>
      <c r="G64" s="2"/>
      <c r="H64" s="2"/>
      <c r="I64" s="2"/>
      <c r="J64" s="2"/>
      <c r="K64" s="2"/>
      <c r="L64" s="719"/>
      <c r="M64" s="1117"/>
      <c r="N64" s="1117"/>
      <c r="S64" s="2"/>
    </row>
    <row r="65" spans="3:19" s="1" customFormat="1" ht="12.75">
      <c r="C65" s="2"/>
      <c r="D65" s="2"/>
      <c r="E65" s="2"/>
      <c r="F65" s="2"/>
      <c r="G65" s="2"/>
      <c r="H65" s="2"/>
      <c r="I65" s="2"/>
      <c r="J65" s="2"/>
      <c r="K65" s="2"/>
      <c r="L65" s="719"/>
      <c r="M65" s="1115"/>
      <c r="N65" s="1115"/>
      <c r="S65" s="2"/>
    </row>
    <row r="66" spans="3:19" s="1" customFormat="1" ht="12.75">
      <c r="C66" s="2"/>
      <c r="D66" s="2"/>
      <c r="E66" s="2"/>
      <c r="F66" s="2"/>
      <c r="G66" s="2"/>
      <c r="H66" s="2"/>
      <c r="I66" s="2"/>
      <c r="J66" s="2"/>
      <c r="K66" s="2"/>
      <c r="L66" s="719"/>
      <c r="M66" s="719"/>
      <c r="N66" s="721"/>
      <c r="S66" s="2"/>
    </row>
    <row r="67" spans="3:19" s="1" customFormat="1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S67" s="2"/>
    </row>
    <row r="68" spans="3:19" s="1" customFormat="1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S68" s="2"/>
    </row>
    <row r="69" spans="3:19" s="1" customFormat="1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S69" s="2"/>
    </row>
    <row r="70" spans="3:19" s="1" customFormat="1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S70" s="2"/>
    </row>
    <row r="71" spans="3:19" s="1" customFormat="1" ht="12.75">
      <c r="C71" s="48"/>
      <c r="D71" s="2"/>
      <c r="E71" s="2"/>
      <c r="F71" s="2"/>
      <c r="G71" s="2"/>
      <c r="H71" s="2"/>
      <c r="I71" s="2"/>
      <c r="J71" s="2"/>
      <c r="K71" s="2"/>
      <c r="L71" s="2"/>
      <c r="M71" s="2"/>
      <c r="N71" s="49"/>
      <c r="S71" s="2"/>
    </row>
    <row r="72" spans="3:19" s="1" customFormat="1" ht="12.75">
      <c r="C72" s="48"/>
      <c r="D72" s="2"/>
      <c r="E72" s="2"/>
      <c r="F72" s="2"/>
      <c r="G72" s="2"/>
      <c r="H72" s="2"/>
      <c r="I72" s="2"/>
      <c r="J72" s="2"/>
      <c r="K72" s="2"/>
      <c r="L72" s="2"/>
      <c r="M72" s="2"/>
      <c r="N72" s="49"/>
      <c r="S72" s="2"/>
    </row>
  </sheetData>
  <sheetProtection/>
  <mergeCells count="5">
    <mergeCell ref="C7:N7"/>
    <mergeCell ref="M57:N57"/>
    <mergeCell ref="M65:N65"/>
    <mergeCell ref="M56:N56"/>
    <mergeCell ref="M64:N64"/>
  </mergeCells>
  <printOptions horizontalCentered="1"/>
  <pageMargins left="0.7" right="0" top="0.7" bottom="0.5" header="0.511811023622047" footer="0.511811023622047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AC576"/>
  <sheetViews>
    <sheetView showGridLines="0" view="pageBreakPreview" zoomScale="80" zoomScaleNormal="90" zoomScaleSheetLayoutView="80" zoomScalePageLayoutView="0" workbookViewId="0" topLeftCell="A1">
      <selection activeCell="I16" sqref="I16"/>
    </sheetView>
  </sheetViews>
  <sheetFormatPr defaultColWidth="9.77734375" defaultRowHeight="15.75"/>
  <cols>
    <col min="1" max="1" width="2.5546875" style="557" customWidth="1"/>
    <col min="2" max="2" width="0.44140625" style="557" customWidth="1"/>
    <col min="3" max="3" width="4.3359375" style="557" customWidth="1"/>
    <col min="4" max="4" width="0.88671875" style="557" hidden="1" customWidth="1"/>
    <col min="5" max="5" width="7.10546875" style="557" customWidth="1"/>
    <col min="6" max="6" width="14.6640625" style="557" customWidth="1"/>
    <col min="7" max="7" width="16.4453125" style="557" customWidth="1"/>
    <col min="8" max="8" width="7.88671875" style="557" customWidth="1"/>
    <col min="9" max="9" width="11.5546875" style="557" customWidth="1"/>
    <col min="10" max="10" width="4.4453125" style="557" customWidth="1"/>
    <col min="11" max="11" width="9.5546875" style="557" customWidth="1"/>
    <col min="12" max="12" width="14.10546875" style="557" customWidth="1"/>
    <col min="13" max="13" width="14.4453125" style="557" customWidth="1"/>
    <col min="14" max="14" width="15.99609375" style="557" customWidth="1"/>
    <col min="15" max="15" width="12.3359375" style="557" customWidth="1"/>
    <col min="16" max="21" width="9.77734375" style="0" customWidth="1"/>
    <col min="22" max="22" width="10.77734375" style="557" customWidth="1"/>
    <col min="23" max="23" width="8.77734375" style="557" customWidth="1"/>
    <col min="24" max="24" width="9.4453125" style="557" customWidth="1"/>
    <col min="25" max="25" width="7.3359375" style="557" customWidth="1"/>
    <col min="26" max="26" width="9.5546875" style="557" customWidth="1"/>
    <col min="27" max="27" width="5.77734375" style="557" customWidth="1"/>
    <col min="28" max="28" width="5.21484375" style="557" customWidth="1"/>
    <col min="29" max="29" width="11.21484375" style="557" customWidth="1"/>
    <col min="30" max="30" width="17.77734375" style="557" customWidth="1"/>
    <col min="31" max="31" width="1.77734375" style="557" customWidth="1"/>
    <col min="32" max="32" width="2.77734375" style="557" customWidth="1"/>
    <col min="33" max="33" width="18.77734375" style="557" customWidth="1"/>
    <col min="34" max="34" width="1.77734375" style="557" customWidth="1"/>
    <col min="35" max="35" width="9.77734375" style="557" customWidth="1"/>
    <col min="36" max="36" width="1.77734375" style="557" customWidth="1"/>
    <col min="37" max="37" width="3.77734375" style="557" customWidth="1"/>
    <col min="38" max="38" width="10.77734375" style="557" customWidth="1"/>
    <col min="39" max="39" width="4.77734375" style="557" customWidth="1"/>
    <col min="40" max="40" width="9.77734375" style="557" customWidth="1"/>
    <col min="41" max="41" width="1.77734375" style="557" customWidth="1"/>
    <col min="42" max="42" width="9.77734375" style="557" customWidth="1"/>
    <col min="43" max="43" width="1.77734375" style="557" customWidth="1"/>
    <col min="44" max="44" width="10.77734375" style="557" customWidth="1"/>
    <col min="45" max="45" width="1.77734375" style="557" customWidth="1"/>
    <col min="46" max="46" width="14.77734375" style="557" customWidth="1"/>
    <col min="47" max="47" width="1.77734375" style="557" customWidth="1"/>
    <col min="48" max="49" width="19.77734375" style="557" customWidth="1"/>
    <col min="50" max="50" width="1.77734375" style="557" customWidth="1"/>
    <col min="51" max="52" width="2.77734375" style="557" customWidth="1"/>
    <col min="53" max="53" width="14.77734375" style="557" customWidth="1"/>
    <col min="54" max="54" width="2.77734375" style="557" customWidth="1"/>
    <col min="55" max="55" width="3.77734375" style="557" customWidth="1"/>
    <col min="56" max="56" width="15.77734375" style="557" customWidth="1"/>
    <col min="57" max="57" width="2.77734375" style="557" customWidth="1"/>
    <col min="58" max="58" width="3.77734375" style="557" customWidth="1"/>
    <col min="59" max="59" width="15.77734375" style="557" customWidth="1"/>
    <col min="60" max="60" width="1.77734375" style="557" customWidth="1"/>
    <col min="61" max="61" width="15.77734375" style="557" customWidth="1"/>
    <col min="62" max="62" width="3.77734375" style="557" customWidth="1"/>
    <col min="63" max="63" width="15.77734375" style="557" customWidth="1"/>
    <col min="64" max="64" width="1.77734375" style="557" customWidth="1"/>
    <col min="65" max="65" width="9.77734375" style="557" customWidth="1"/>
    <col min="66" max="66" width="1.77734375" style="557" customWidth="1"/>
    <col min="67" max="67" width="7.77734375" style="557" customWidth="1"/>
    <col min="68" max="68" width="1.77734375" style="557" customWidth="1"/>
    <col min="69" max="69" width="12.77734375" style="557" customWidth="1"/>
    <col min="70" max="70" width="1.77734375" style="557" customWidth="1"/>
    <col min="71" max="71" width="12.77734375" style="557" customWidth="1"/>
    <col min="72" max="72" width="1.77734375" style="557" customWidth="1"/>
    <col min="73" max="73" width="12.77734375" style="557" customWidth="1"/>
    <col min="74" max="74" width="1.77734375" style="557" customWidth="1"/>
    <col min="75" max="75" width="17.77734375" style="557" customWidth="1"/>
    <col min="76" max="76" width="1.77734375" style="557" customWidth="1"/>
    <col min="77" max="16384" width="9.77734375" style="557" customWidth="1"/>
  </cols>
  <sheetData>
    <row r="1" spans="6:15" ht="15.75">
      <c r="F1" s="604"/>
      <c r="J1" s="585" t="s">
        <v>40</v>
      </c>
      <c r="K1" s="557" t="s">
        <v>224</v>
      </c>
      <c r="L1" s="605">
        <f>L2*L3</f>
        <v>1</v>
      </c>
      <c r="M1" s="716" t="s">
        <v>32</v>
      </c>
      <c r="N1" s="717">
        <v>9500</v>
      </c>
      <c r="O1" s="1021"/>
    </row>
    <row r="2" spans="2:15" ht="15.75">
      <c r="B2" s="585" t="s">
        <v>41</v>
      </c>
      <c r="C2" s="585" t="s">
        <v>41</v>
      </c>
      <c r="F2" s="606">
        <v>39173</v>
      </c>
      <c r="K2" s="607" t="s">
        <v>204</v>
      </c>
      <c r="L2" s="608">
        <f>Bhn!L2</f>
        <v>1</v>
      </c>
      <c r="M2" s="585"/>
      <c r="N2" s="609"/>
      <c r="O2" s="564"/>
    </row>
    <row r="3" spans="11:15" ht="15.75">
      <c r="K3" s="610" t="s">
        <v>205</v>
      </c>
      <c r="L3" s="608">
        <f>Bhn!L3</f>
        <v>1</v>
      </c>
      <c r="M3" s="585"/>
      <c r="N3" s="609"/>
      <c r="O3" s="564"/>
    </row>
    <row r="4" spans="12:15" ht="15.75">
      <c r="L4" s="611" t="s">
        <v>42</v>
      </c>
      <c r="M4" s="612"/>
      <c r="N4" s="609"/>
      <c r="O4" s="564"/>
    </row>
    <row r="5" spans="3:29" ht="24" customHeight="1">
      <c r="C5" s="585"/>
      <c r="G5" s="585" t="s">
        <v>41</v>
      </c>
      <c r="H5" s="585"/>
      <c r="N5" s="585" t="s">
        <v>41</v>
      </c>
      <c r="O5" s="585"/>
      <c r="AA5" s="562"/>
      <c r="AB5" s="562"/>
      <c r="AC5" s="562"/>
    </row>
    <row r="10" spans="3:15" ht="15.75">
      <c r="C10" s="948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50"/>
      <c r="O10" s="973"/>
    </row>
    <row r="11" spans="3:15" ht="26.25">
      <c r="C11" s="1120" t="s">
        <v>470</v>
      </c>
      <c r="D11" s="1121"/>
      <c r="E11" s="1121"/>
      <c r="F11" s="1121"/>
      <c r="G11" s="1121"/>
      <c r="H11" s="1121"/>
      <c r="I11" s="1121"/>
      <c r="J11" s="1121"/>
      <c r="K11" s="1121"/>
      <c r="L11" s="1121"/>
      <c r="M11" s="1121"/>
      <c r="N11" s="1122"/>
      <c r="O11" s="1017"/>
    </row>
    <row r="12" spans="3:15" ht="15.75">
      <c r="C12" s="951"/>
      <c r="D12" s="890"/>
      <c r="E12" s="890"/>
      <c r="F12" s="848"/>
      <c r="G12" s="583"/>
      <c r="H12" s="583"/>
      <c r="I12" s="583"/>
      <c r="J12" s="583"/>
      <c r="K12" s="583"/>
      <c r="L12" s="583"/>
      <c r="M12" s="583"/>
      <c r="N12" s="952"/>
      <c r="O12" s="583"/>
    </row>
    <row r="13" spans="3:15" ht="15.75">
      <c r="C13" s="953" t="s">
        <v>482</v>
      </c>
      <c r="D13" s="848"/>
      <c r="E13" s="848"/>
      <c r="F13" s="848" t="s">
        <v>1287</v>
      </c>
      <c r="G13" s="578"/>
      <c r="H13" s="578"/>
      <c r="I13" s="578"/>
      <c r="J13" s="578"/>
      <c r="K13" s="578"/>
      <c r="L13" s="578"/>
      <c r="M13" s="578"/>
      <c r="N13" s="954"/>
      <c r="O13" s="578"/>
    </row>
    <row r="14" spans="3:15" ht="15.75">
      <c r="C14" s="953" t="s">
        <v>483</v>
      </c>
      <c r="D14" s="848"/>
      <c r="E14" s="848"/>
      <c r="F14" s="848" t="s">
        <v>1287</v>
      </c>
      <c r="G14" s="578"/>
      <c r="H14" s="578"/>
      <c r="I14" s="578"/>
      <c r="J14" s="578"/>
      <c r="K14" s="578"/>
      <c r="L14" s="578"/>
      <c r="M14" s="578"/>
      <c r="N14" s="954"/>
      <c r="O14" s="578"/>
    </row>
    <row r="15" spans="3:15" ht="15.75">
      <c r="C15" s="953" t="s">
        <v>484</v>
      </c>
      <c r="D15" s="848"/>
      <c r="E15" s="848"/>
      <c r="F15" s="848"/>
      <c r="G15" s="578"/>
      <c r="H15" s="578"/>
      <c r="I15" s="578"/>
      <c r="J15" s="578"/>
      <c r="K15" s="578"/>
      <c r="L15" s="578"/>
      <c r="M15" s="578"/>
      <c r="N15" s="954"/>
      <c r="O15" s="578"/>
    </row>
    <row r="16" spans="3:15" ht="15.75">
      <c r="C16" s="972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4"/>
      <c r="O16" s="973"/>
    </row>
    <row r="17" spans="3:15" ht="22.5" customHeight="1">
      <c r="C17" s="1123" t="s">
        <v>269</v>
      </c>
      <c r="D17" s="1125" t="s">
        <v>270</v>
      </c>
      <c r="E17" s="1125"/>
      <c r="F17" s="1125"/>
      <c r="G17" s="1125"/>
      <c r="H17" s="1125"/>
      <c r="I17" s="1125"/>
      <c r="J17" s="1123" t="s">
        <v>271</v>
      </c>
      <c r="K17" s="1123" t="s">
        <v>272</v>
      </c>
      <c r="L17" s="975" t="s">
        <v>273</v>
      </c>
      <c r="M17" s="975" t="s">
        <v>158</v>
      </c>
      <c r="N17" s="975" t="s">
        <v>274</v>
      </c>
      <c r="O17" s="1022"/>
    </row>
    <row r="18" spans="3:15" ht="15.75">
      <c r="C18" s="1124"/>
      <c r="D18" s="1126"/>
      <c r="E18" s="1126"/>
      <c r="F18" s="1126"/>
      <c r="G18" s="1126"/>
      <c r="H18" s="1126"/>
      <c r="I18" s="1126"/>
      <c r="J18" s="1124"/>
      <c r="K18" s="1124"/>
      <c r="L18" s="718" t="s">
        <v>275</v>
      </c>
      <c r="M18" s="718" t="s">
        <v>275</v>
      </c>
      <c r="N18" s="718" t="s">
        <v>275</v>
      </c>
      <c r="O18" s="1022"/>
    </row>
    <row r="19" spans="3:15" ht="15.75">
      <c r="C19" s="723"/>
      <c r="D19" s="614"/>
      <c r="E19" s="614"/>
      <c r="F19" s="614"/>
      <c r="G19" s="614"/>
      <c r="H19" s="614"/>
      <c r="I19" s="614"/>
      <c r="J19" s="722"/>
      <c r="K19" s="620"/>
      <c r="L19" s="615"/>
      <c r="M19" s="615"/>
      <c r="N19" s="615"/>
      <c r="O19" s="1023"/>
    </row>
    <row r="20" spans="3:15" ht="15.75">
      <c r="C20" s="977" t="s">
        <v>344</v>
      </c>
      <c r="D20" s="978"/>
      <c r="E20" s="979" t="s">
        <v>276</v>
      </c>
      <c r="F20" s="978"/>
      <c r="G20" s="759"/>
      <c r="H20" s="759"/>
      <c r="I20" s="759"/>
      <c r="J20" s="764"/>
      <c r="K20" s="765"/>
      <c r="L20" s="765"/>
      <c r="M20" s="765"/>
      <c r="N20" s="765">
        <f>SUM(M21:M27)</f>
        <v>1500000</v>
      </c>
      <c r="O20" s="814"/>
    </row>
    <row r="21" spans="3:15" ht="15.75" hidden="1">
      <c r="C21" s="758">
        <v>1</v>
      </c>
      <c r="D21" s="759"/>
      <c r="E21" s="760" t="s">
        <v>277</v>
      </c>
      <c r="F21" s="759"/>
      <c r="G21" s="759"/>
      <c r="H21" s="759"/>
      <c r="I21" s="759"/>
      <c r="J21" s="766" t="s">
        <v>278</v>
      </c>
      <c r="K21" s="767">
        <v>0</v>
      </c>
      <c r="L21" s="768">
        <v>1600000</v>
      </c>
      <c r="M21" s="767">
        <f aca="true" t="shared" si="0" ref="M21:M27">K21*L21</f>
        <v>0</v>
      </c>
      <c r="N21" s="765"/>
      <c r="O21" s="814"/>
    </row>
    <row r="22" spans="3:15" ht="15.75" hidden="1">
      <c r="C22" s="758">
        <v>2</v>
      </c>
      <c r="D22" s="759"/>
      <c r="E22" s="760" t="s">
        <v>279</v>
      </c>
      <c r="F22" s="761"/>
      <c r="G22" s="761"/>
      <c r="H22" s="761"/>
      <c r="I22" s="761"/>
      <c r="J22" s="766" t="s">
        <v>161</v>
      </c>
      <c r="K22" s="767"/>
      <c r="L22" s="769">
        <v>250000</v>
      </c>
      <c r="M22" s="767">
        <f t="shared" si="0"/>
        <v>0</v>
      </c>
      <c r="N22" s="765"/>
      <c r="O22" s="814"/>
    </row>
    <row r="23" spans="3:15" ht="15.75" hidden="1">
      <c r="C23" s="758">
        <f>C22+1</f>
        <v>3</v>
      </c>
      <c r="D23" s="759"/>
      <c r="E23" s="760" t="s">
        <v>280</v>
      </c>
      <c r="F23" s="761"/>
      <c r="G23" s="761"/>
      <c r="H23" s="761"/>
      <c r="I23" s="761"/>
      <c r="J23" s="766" t="s">
        <v>278</v>
      </c>
      <c r="K23" s="767"/>
      <c r="L23" s="769">
        <v>500000</v>
      </c>
      <c r="M23" s="767">
        <f t="shared" si="0"/>
        <v>0</v>
      </c>
      <c r="N23" s="765"/>
      <c r="O23" s="814"/>
    </row>
    <row r="24" spans="3:15" ht="15.75" hidden="1">
      <c r="C24" s="758">
        <f>C23+1</f>
        <v>4</v>
      </c>
      <c r="D24" s="759"/>
      <c r="E24" s="760" t="s">
        <v>1110</v>
      </c>
      <c r="F24" s="761"/>
      <c r="G24" s="761"/>
      <c r="H24" s="761"/>
      <c r="I24" s="761"/>
      <c r="J24" s="766" t="s">
        <v>278</v>
      </c>
      <c r="K24" s="767"/>
      <c r="L24" s="769"/>
      <c r="M24" s="767">
        <f t="shared" si="0"/>
        <v>0</v>
      </c>
      <c r="N24" s="765"/>
      <c r="O24" s="814"/>
    </row>
    <row r="25" spans="3:15" ht="15.75">
      <c r="C25" s="758">
        <v>1</v>
      </c>
      <c r="D25" s="761"/>
      <c r="E25" s="760" t="s">
        <v>281</v>
      </c>
      <c r="F25" s="761"/>
      <c r="G25" s="761"/>
      <c r="H25" s="761"/>
      <c r="I25" s="761"/>
      <c r="J25" s="766" t="s">
        <v>278</v>
      </c>
      <c r="K25" s="767">
        <v>1</v>
      </c>
      <c r="L25" s="769">
        <v>500000</v>
      </c>
      <c r="M25" s="767">
        <f t="shared" si="0"/>
        <v>500000</v>
      </c>
      <c r="N25" s="767"/>
      <c r="O25" s="1024"/>
    </row>
    <row r="26" spans="3:15" ht="15.75">
      <c r="C26" s="758">
        <f>C25+1</f>
        <v>2</v>
      </c>
      <c r="D26" s="761"/>
      <c r="E26" s="760" t="s">
        <v>282</v>
      </c>
      <c r="F26" s="761"/>
      <c r="G26" s="761"/>
      <c r="H26" s="761"/>
      <c r="I26" s="761"/>
      <c r="J26" s="766" t="s">
        <v>278</v>
      </c>
      <c r="K26" s="767">
        <v>1</v>
      </c>
      <c r="L26" s="769">
        <v>500000</v>
      </c>
      <c r="M26" s="767">
        <f t="shared" si="0"/>
        <v>500000</v>
      </c>
      <c r="N26" s="767"/>
      <c r="O26" s="1024"/>
    </row>
    <row r="27" spans="3:15" ht="15.75">
      <c r="C27" s="758">
        <f>C26+1</f>
        <v>3</v>
      </c>
      <c r="D27" s="761"/>
      <c r="E27" s="760" t="s">
        <v>283</v>
      </c>
      <c r="F27" s="761"/>
      <c r="G27" s="761"/>
      <c r="H27" s="761"/>
      <c r="I27" s="761"/>
      <c r="J27" s="766" t="s">
        <v>159</v>
      </c>
      <c r="K27" s="767">
        <v>1</v>
      </c>
      <c r="L27" s="769">
        <v>500000</v>
      </c>
      <c r="M27" s="767">
        <f t="shared" si="0"/>
        <v>500000</v>
      </c>
      <c r="N27" s="768"/>
      <c r="O27" s="788"/>
    </row>
    <row r="28" spans="3:15" ht="15.75">
      <c r="C28" s="770"/>
      <c r="D28" s="771"/>
      <c r="E28" s="772"/>
      <c r="F28" s="771"/>
      <c r="G28" s="771"/>
      <c r="H28" s="771"/>
      <c r="I28" s="771"/>
      <c r="J28" s="773"/>
      <c r="K28" s="774"/>
      <c r="L28" s="775"/>
      <c r="M28" s="774"/>
      <c r="N28" s="776"/>
      <c r="O28" s="788"/>
    </row>
    <row r="29" spans="3:15" ht="15.75">
      <c r="C29" s="762"/>
      <c r="D29" s="761"/>
      <c r="E29" s="759"/>
      <c r="F29" s="761"/>
      <c r="G29" s="761"/>
      <c r="H29" s="761"/>
      <c r="I29" s="761"/>
      <c r="J29" s="766"/>
      <c r="K29" s="767"/>
      <c r="L29" s="769"/>
      <c r="M29" s="767"/>
      <c r="N29" s="768"/>
      <c r="O29" s="788"/>
    </row>
    <row r="30" spans="3:15" ht="15.75">
      <c r="C30" s="977" t="s">
        <v>496</v>
      </c>
      <c r="D30" s="980"/>
      <c r="E30" s="978" t="s">
        <v>621</v>
      </c>
      <c r="F30" s="761"/>
      <c r="G30" s="759"/>
      <c r="H30" s="759"/>
      <c r="I30" s="759"/>
      <c r="J30" s="764"/>
      <c r="K30" s="765"/>
      <c r="L30" s="976"/>
      <c r="M30" s="789"/>
      <c r="N30" s="789"/>
      <c r="O30" s="1025"/>
    </row>
    <row r="31" spans="3:15" ht="15.75">
      <c r="C31" s="762"/>
      <c r="D31" s="759"/>
      <c r="E31" s="763"/>
      <c r="F31" s="759"/>
      <c r="G31" s="759"/>
      <c r="H31" s="759"/>
      <c r="I31" s="759"/>
      <c r="J31" s="764"/>
      <c r="K31" s="789"/>
      <c r="L31" s="789"/>
      <c r="M31" s="789"/>
      <c r="N31" s="789"/>
      <c r="O31" s="1025"/>
    </row>
    <row r="32" spans="3:15" ht="15.75">
      <c r="C32" s="983" t="s">
        <v>219</v>
      </c>
      <c r="D32" s="784"/>
      <c r="E32" s="785" t="s">
        <v>628</v>
      </c>
      <c r="F32" s="784"/>
      <c r="G32" s="784"/>
      <c r="H32" s="784"/>
      <c r="I32" s="784"/>
      <c r="J32" s="786"/>
      <c r="K32" s="787"/>
      <c r="L32" s="787"/>
      <c r="M32" s="787"/>
      <c r="N32" s="787">
        <f>SUM(M33:M40)</f>
        <v>34847744.6964</v>
      </c>
      <c r="O32" s="1026"/>
    </row>
    <row r="33" spans="3:15" ht="15.75">
      <c r="C33" s="758">
        <v>1</v>
      </c>
      <c r="D33" s="761"/>
      <c r="E33" s="760" t="s">
        <v>1145</v>
      </c>
      <c r="F33" s="761"/>
      <c r="G33" s="761" t="s">
        <v>1169</v>
      </c>
      <c r="H33" s="761"/>
      <c r="I33" s="761"/>
      <c r="J33" s="766" t="s">
        <v>134</v>
      </c>
      <c r="K33" s="767">
        <v>96.592</v>
      </c>
      <c r="L33" s="767">
        <f>ANALISA!$N$12</f>
        <v>13600</v>
      </c>
      <c r="M33" s="767">
        <f aca="true" t="shared" si="1" ref="M33:M40">K33*L33</f>
        <v>1313651.2</v>
      </c>
      <c r="N33" s="767"/>
      <c r="O33" s="1024"/>
    </row>
    <row r="34" spans="3:15" ht="15.75">
      <c r="C34" s="758">
        <f aca="true" t="shared" si="2" ref="C34:C40">C33+1</f>
        <v>2</v>
      </c>
      <c r="D34" s="761"/>
      <c r="E34" s="760" t="s">
        <v>111</v>
      </c>
      <c r="F34" s="761"/>
      <c r="G34" s="761"/>
      <c r="H34" s="761"/>
      <c r="I34" s="788"/>
      <c r="J34" s="766" t="s">
        <v>134</v>
      </c>
      <c r="K34" s="767">
        <v>48.296</v>
      </c>
      <c r="L34" s="767">
        <f>ANALISA!$N$20</f>
        <v>6800</v>
      </c>
      <c r="M34" s="767">
        <f t="shared" si="1"/>
        <v>328412.8</v>
      </c>
      <c r="N34" s="767"/>
      <c r="O34" s="1024"/>
    </row>
    <row r="35" spans="3:15" ht="15.75" hidden="1">
      <c r="C35" s="758">
        <f t="shared" si="2"/>
        <v>3</v>
      </c>
      <c r="D35" s="761"/>
      <c r="E35" s="760" t="s">
        <v>112</v>
      </c>
      <c r="F35" s="759"/>
      <c r="G35" s="761" t="s">
        <v>1151</v>
      </c>
      <c r="H35" s="788">
        <v>0.5</v>
      </c>
      <c r="I35" s="761" t="s">
        <v>335</v>
      </c>
      <c r="J35" s="766" t="s">
        <v>134</v>
      </c>
      <c r="K35" s="767"/>
      <c r="L35" s="767">
        <f>ANALISA!$N$22</f>
        <v>49900</v>
      </c>
      <c r="M35" s="767">
        <f t="shared" si="1"/>
        <v>0</v>
      </c>
      <c r="N35" s="767"/>
      <c r="O35" s="1024"/>
    </row>
    <row r="36" spans="3:15" ht="15.75">
      <c r="C36" s="758">
        <v>3</v>
      </c>
      <c r="D36" s="761"/>
      <c r="E36" s="760" t="s">
        <v>113</v>
      </c>
      <c r="F36" s="761"/>
      <c r="G36" s="761" t="s">
        <v>285</v>
      </c>
      <c r="H36" s="761"/>
      <c r="I36" s="761"/>
      <c r="J36" s="766" t="s">
        <v>134</v>
      </c>
      <c r="K36" s="767">
        <v>3.7032</v>
      </c>
      <c r="L36" s="767">
        <f>ANALISA!$N$27</f>
        <v>93400</v>
      </c>
      <c r="M36" s="767">
        <f t="shared" si="1"/>
        <v>345878.88</v>
      </c>
      <c r="N36" s="767"/>
      <c r="O36" s="1024"/>
    </row>
    <row r="37" spans="3:15" ht="15.75">
      <c r="C37" s="758">
        <f t="shared" si="2"/>
        <v>4</v>
      </c>
      <c r="D37" s="763"/>
      <c r="E37" s="760" t="s">
        <v>114</v>
      </c>
      <c r="F37" s="759"/>
      <c r="G37" s="759"/>
      <c r="H37" s="759"/>
      <c r="I37" s="759"/>
      <c r="J37" s="766" t="s">
        <v>134</v>
      </c>
      <c r="K37" s="767">
        <v>16.02788</v>
      </c>
      <c r="L37" s="767">
        <f>ANALISA!$N$46</f>
        <v>201120</v>
      </c>
      <c r="M37" s="767">
        <f t="shared" si="1"/>
        <v>3223527.2256</v>
      </c>
      <c r="N37" s="789"/>
      <c r="O37" s="1025"/>
    </row>
    <row r="38" spans="3:15" ht="15.75">
      <c r="C38" s="758">
        <f t="shared" si="2"/>
        <v>5</v>
      </c>
      <c r="D38" s="763"/>
      <c r="E38" s="760" t="s">
        <v>129</v>
      </c>
      <c r="F38" s="759"/>
      <c r="G38" s="759"/>
      <c r="H38" s="759"/>
      <c r="I38" s="759"/>
      <c r="J38" s="766" t="s">
        <v>134</v>
      </c>
      <c r="K38" s="767">
        <v>43.852832</v>
      </c>
      <c r="L38" s="767">
        <f>ANALISA!$N$37</f>
        <v>387900</v>
      </c>
      <c r="M38" s="767">
        <f t="shared" si="1"/>
        <v>17010513.5328</v>
      </c>
      <c r="N38" s="789"/>
      <c r="O38" s="1025"/>
    </row>
    <row r="39" spans="3:15" ht="15.75">
      <c r="C39" s="758">
        <f t="shared" si="2"/>
        <v>6</v>
      </c>
      <c r="D39" s="763"/>
      <c r="E39" s="760" t="s">
        <v>286</v>
      </c>
      <c r="F39" s="761"/>
      <c r="G39" s="790" t="s">
        <v>541</v>
      </c>
      <c r="H39" s="790">
        <v>124</v>
      </c>
      <c r="I39" s="791" t="s">
        <v>169</v>
      </c>
      <c r="J39" s="766" t="s">
        <v>134</v>
      </c>
      <c r="K39" s="767">
        <v>4.629</v>
      </c>
      <c r="L39" s="767">
        <f>ANALISA!$N$631</f>
        <v>2727535.3333333335</v>
      </c>
      <c r="M39" s="767">
        <f t="shared" si="1"/>
        <v>12625761.058</v>
      </c>
      <c r="N39" s="767"/>
      <c r="O39" s="1024"/>
    </row>
    <row r="40" spans="3:15" ht="15.75" hidden="1">
      <c r="C40" s="758">
        <f t="shared" si="2"/>
        <v>7</v>
      </c>
      <c r="D40" s="763"/>
      <c r="E40" s="760" t="s">
        <v>864</v>
      </c>
      <c r="F40" s="761"/>
      <c r="G40" s="790"/>
      <c r="H40" s="790">
        <v>97</v>
      </c>
      <c r="I40" s="791" t="s">
        <v>169</v>
      </c>
      <c r="J40" s="766" t="s">
        <v>134</v>
      </c>
      <c r="K40" s="767"/>
      <c r="L40" s="767">
        <f>ANALISA!$N$646</f>
        <v>1964043.58</v>
      </c>
      <c r="M40" s="767">
        <f t="shared" si="1"/>
        <v>0</v>
      </c>
      <c r="N40" s="767"/>
      <c r="O40" s="1024"/>
    </row>
    <row r="41" spans="3:15" ht="15.75">
      <c r="C41" s="770"/>
      <c r="D41" s="792"/>
      <c r="E41" s="772"/>
      <c r="F41" s="771"/>
      <c r="G41" s="793"/>
      <c r="H41" s="793"/>
      <c r="I41" s="794"/>
      <c r="J41" s="773"/>
      <c r="K41" s="774"/>
      <c r="L41" s="774"/>
      <c r="M41" s="774"/>
      <c r="N41" s="774"/>
      <c r="O41" s="1024"/>
    </row>
    <row r="42" spans="3:15" ht="15.75">
      <c r="C42" s="795"/>
      <c r="D42" s="782"/>
      <c r="E42" s="796"/>
      <c r="F42" s="797"/>
      <c r="G42" s="798"/>
      <c r="H42" s="798"/>
      <c r="I42" s="799"/>
      <c r="J42" s="800"/>
      <c r="K42" s="801"/>
      <c r="L42" s="801"/>
      <c r="M42" s="801"/>
      <c r="N42" s="801"/>
      <c r="O42" s="1024"/>
    </row>
    <row r="43" spans="3:15" ht="15.75">
      <c r="C43" s="983" t="s">
        <v>188</v>
      </c>
      <c r="D43" s="785"/>
      <c r="E43" s="785" t="s">
        <v>629</v>
      </c>
      <c r="F43" s="784"/>
      <c r="G43" s="802"/>
      <c r="H43" s="803"/>
      <c r="I43" s="784"/>
      <c r="J43" s="804"/>
      <c r="K43" s="769"/>
      <c r="L43" s="769"/>
      <c r="M43" s="769"/>
      <c r="N43" s="787">
        <f>SUM(M44:M55)</f>
        <v>29407372.0734411</v>
      </c>
      <c r="O43" s="1026"/>
    </row>
    <row r="44" spans="3:15" ht="15.75" hidden="1">
      <c r="C44" s="758">
        <f>C43+1</f>
        <v>1</v>
      </c>
      <c r="D44" s="761"/>
      <c r="E44" s="760" t="s">
        <v>890</v>
      </c>
      <c r="F44" s="761"/>
      <c r="G44" s="790"/>
      <c r="H44" s="805">
        <v>210</v>
      </c>
      <c r="I44" s="791" t="s">
        <v>169</v>
      </c>
      <c r="J44" s="766" t="s">
        <v>134</v>
      </c>
      <c r="K44" s="767"/>
      <c r="L44" s="767">
        <f>ANALISA!$N$650</f>
        <v>4940654.61</v>
      </c>
      <c r="M44" s="767">
        <f aca="true" t="shared" si="3" ref="M44:M55">K44*L44</f>
        <v>0</v>
      </c>
      <c r="N44" s="768"/>
      <c r="O44" s="788"/>
    </row>
    <row r="45" spans="3:15" ht="15.75" hidden="1">
      <c r="C45" s="758">
        <f>C44+1</f>
        <v>2</v>
      </c>
      <c r="D45" s="761"/>
      <c r="E45" s="760" t="s">
        <v>1172</v>
      </c>
      <c r="F45" s="761"/>
      <c r="G45" s="790"/>
      <c r="H45" s="805">
        <v>180</v>
      </c>
      <c r="I45" s="791" t="s">
        <v>169</v>
      </c>
      <c r="J45" s="766" t="s">
        <v>134</v>
      </c>
      <c r="K45" s="767"/>
      <c r="L45" s="767">
        <f>+ANALISA!$N$665</f>
        <v>4612124.61</v>
      </c>
      <c r="M45" s="767">
        <f t="shared" si="3"/>
        <v>0</v>
      </c>
      <c r="N45" s="768"/>
      <c r="O45" s="788"/>
    </row>
    <row r="46" spans="3:15" ht="15.75">
      <c r="C46" s="758">
        <v>1</v>
      </c>
      <c r="D46" s="761"/>
      <c r="E46" s="760" t="s">
        <v>29</v>
      </c>
      <c r="F46" s="761"/>
      <c r="G46" s="790" t="s">
        <v>798</v>
      </c>
      <c r="H46" s="805">
        <v>197</v>
      </c>
      <c r="I46" s="791" t="s">
        <v>169</v>
      </c>
      <c r="J46" s="766" t="s">
        <v>134</v>
      </c>
      <c r="K46" s="767">
        <v>3.04128</v>
      </c>
      <c r="L46" s="767">
        <f>ANALISA!$N$626</f>
        <v>2727535.3333333335</v>
      </c>
      <c r="M46" s="767">
        <f t="shared" si="3"/>
        <v>8295198.65856</v>
      </c>
      <c r="N46" s="768"/>
      <c r="O46" s="788"/>
    </row>
    <row r="47" spans="3:15" ht="15.75" hidden="1">
      <c r="C47" s="758">
        <v>4</v>
      </c>
      <c r="D47" s="761"/>
      <c r="E47" s="760" t="s">
        <v>1174</v>
      </c>
      <c r="F47" s="761"/>
      <c r="G47" s="806"/>
      <c r="H47" s="805">
        <v>200</v>
      </c>
      <c r="I47" s="791" t="s">
        <v>169</v>
      </c>
      <c r="J47" s="766" t="s">
        <v>134</v>
      </c>
      <c r="K47" s="767"/>
      <c r="L47" s="767">
        <f>+ANALISA!$N$655</f>
        <v>4209280.5</v>
      </c>
      <c r="M47" s="767">
        <f t="shared" si="3"/>
        <v>0</v>
      </c>
      <c r="N47" s="768"/>
      <c r="O47" s="788"/>
    </row>
    <row r="48" spans="3:15" ht="15.75" hidden="1">
      <c r="C48" s="758">
        <f>C46+1</f>
        <v>2</v>
      </c>
      <c r="D48" s="761"/>
      <c r="E48" s="760" t="s">
        <v>287</v>
      </c>
      <c r="F48" s="761"/>
      <c r="G48" s="806" t="s">
        <v>478</v>
      </c>
      <c r="H48" s="805">
        <v>124</v>
      </c>
      <c r="I48" s="791" t="s">
        <v>169</v>
      </c>
      <c r="J48" s="766" t="s">
        <v>134</v>
      </c>
      <c r="K48" s="767"/>
      <c r="L48" s="767">
        <f>ANALISA!$N$670</f>
        <v>2727535.3333333335</v>
      </c>
      <c r="M48" s="767">
        <f t="shared" si="3"/>
        <v>0</v>
      </c>
      <c r="N48" s="768"/>
      <c r="O48" s="788"/>
    </row>
    <row r="49" spans="3:15" ht="15.75">
      <c r="C49" s="758">
        <v>2</v>
      </c>
      <c r="D49" s="761"/>
      <c r="E49" s="760" t="s">
        <v>1017</v>
      </c>
      <c r="F49" s="761"/>
      <c r="G49" s="806" t="s">
        <v>1176</v>
      </c>
      <c r="H49" s="805">
        <v>182</v>
      </c>
      <c r="I49" s="791" t="s">
        <v>169</v>
      </c>
      <c r="J49" s="766" t="s">
        <v>134</v>
      </c>
      <c r="K49" s="767">
        <v>4.350149999999999</v>
      </c>
      <c r="L49" s="767">
        <f>ANALISA!$N$636</f>
        <v>2727535.3333333335</v>
      </c>
      <c r="M49" s="767">
        <f t="shared" si="3"/>
        <v>11865187.8303</v>
      </c>
      <c r="N49" s="768"/>
      <c r="O49" s="788"/>
    </row>
    <row r="50" spans="3:15" ht="15.75" hidden="1">
      <c r="C50" s="758">
        <f>C48+1</f>
        <v>3</v>
      </c>
      <c r="D50" s="761"/>
      <c r="E50" s="760" t="s">
        <v>1183</v>
      </c>
      <c r="F50" s="761"/>
      <c r="G50" s="806" t="s">
        <v>1182</v>
      </c>
      <c r="H50" s="805">
        <v>124</v>
      </c>
      <c r="I50" s="791" t="s">
        <v>169</v>
      </c>
      <c r="J50" s="766" t="s">
        <v>134</v>
      </c>
      <c r="K50" s="767"/>
      <c r="L50" s="767">
        <f>ANALISA!$N$636</f>
        <v>2727535.3333333335</v>
      </c>
      <c r="M50" s="767">
        <f t="shared" si="3"/>
        <v>0</v>
      </c>
      <c r="N50" s="768"/>
      <c r="O50" s="788"/>
    </row>
    <row r="51" spans="3:15" ht="15.75" hidden="1">
      <c r="C51" s="758">
        <f>C50+1</f>
        <v>4</v>
      </c>
      <c r="D51" s="761"/>
      <c r="E51" s="760" t="s">
        <v>647</v>
      </c>
      <c r="F51" s="761"/>
      <c r="G51" s="806" t="s">
        <v>799</v>
      </c>
      <c r="H51" s="805">
        <v>86</v>
      </c>
      <c r="I51" s="791" t="s">
        <v>169</v>
      </c>
      <c r="J51" s="766" t="s">
        <v>134</v>
      </c>
      <c r="K51" s="767"/>
      <c r="L51" s="767">
        <f>ANALISA!$N$675</f>
        <v>3456190.5</v>
      </c>
      <c r="M51" s="767">
        <f t="shared" si="3"/>
        <v>0</v>
      </c>
      <c r="N51" s="768"/>
      <c r="O51" s="788"/>
    </row>
    <row r="52" spans="3:15" ht="15.75">
      <c r="C52" s="758">
        <v>3</v>
      </c>
      <c r="D52" s="761"/>
      <c r="E52" s="760" t="s">
        <v>194</v>
      </c>
      <c r="F52" s="761"/>
      <c r="G52" s="806" t="s">
        <v>576</v>
      </c>
      <c r="H52" s="805">
        <v>110</v>
      </c>
      <c r="I52" s="791" t="s">
        <v>169</v>
      </c>
      <c r="J52" s="766" t="s">
        <v>134</v>
      </c>
      <c r="K52" s="767">
        <v>1.2156</v>
      </c>
      <c r="L52" s="767">
        <f>ANALISA!$N$679</f>
        <v>3127538</v>
      </c>
      <c r="M52" s="767">
        <f t="shared" si="3"/>
        <v>3801835.1928</v>
      </c>
      <c r="N52" s="768"/>
      <c r="O52" s="788"/>
    </row>
    <row r="53" spans="3:15" ht="15.75" hidden="1">
      <c r="C53" s="758">
        <f>C52+1</f>
        <v>4</v>
      </c>
      <c r="D53" s="761"/>
      <c r="E53" s="760" t="s">
        <v>865</v>
      </c>
      <c r="F53" s="761"/>
      <c r="G53" s="806" t="s">
        <v>863</v>
      </c>
      <c r="H53" s="805">
        <v>361</v>
      </c>
      <c r="I53" s="791" t="s">
        <v>169</v>
      </c>
      <c r="J53" s="766" t="s">
        <v>134</v>
      </c>
      <c r="K53" s="767"/>
      <c r="L53" s="767">
        <f>ANALISA!$N$684</f>
        <v>6060086.45</v>
      </c>
      <c r="M53" s="767">
        <f t="shared" si="3"/>
        <v>0</v>
      </c>
      <c r="N53" s="768"/>
      <c r="O53" s="788"/>
    </row>
    <row r="54" spans="3:15" ht="15.75" hidden="1">
      <c r="C54" s="758">
        <f>C52+1</f>
        <v>4</v>
      </c>
      <c r="D54" s="761"/>
      <c r="E54" s="760" t="s">
        <v>1222</v>
      </c>
      <c r="F54" s="761"/>
      <c r="G54" s="806"/>
      <c r="H54" s="805">
        <v>200</v>
      </c>
      <c r="I54" s="791" t="s">
        <v>169</v>
      </c>
      <c r="J54" s="766" t="s">
        <v>134</v>
      </c>
      <c r="K54" s="767"/>
      <c r="L54" s="767">
        <f>+ANALISA!N660</f>
        <v>4491433</v>
      </c>
      <c r="M54" s="767">
        <f>K54*L54</f>
        <v>0</v>
      </c>
      <c r="N54" s="768"/>
      <c r="O54" s="788"/>
    </row>
    <row r="55" spans="3:15" ht="15.75">
      <c r="C55" s="758">
        <v>4</v>
      </c>
      <c r="D55" s="761"/>
      <c r="E55" s="760" t="s">
        <v>655</v>
      </c>
      <c r="F55" s="761"/>
      <c r="G55" s="806"/>
      <c r="H55" s="805">
        <v>58</v>
      </c>
      <c r="I55" s="791" t="s">
        <v>169</v>
      </c>
      <c r="J55" s="766" t="s">
        <v>134</v>
      </c>
      <c r="K55" s="767">
        <v>2.12751</v>
      </c>
      <c r="L55" s="767">
        <f>ANALISA!$N$689</f>
        <v>2559400.61</v>
      </c>
      <c r="M55" s="767">
        <f t="shared" si="3"/>
        <v>5445150.3917811</v>
      </c>
      <c r="N55" s="768"/>
      <c r="O55" s="788"/>
    </row>
    <row r="56" spans="3:15" ht="15.75">
      <c r="C56" s="770"/>
      <c r="D56" s="771"/>
      <c r="E56" s="772"/>
      <c r="F56" s="771"/>
      <c r="G56" s="771"/>
      <c r="H56" s="771"/>
      <c r="I56" s="771"/>
      <c r="J56" s="773"/>
      <c r="K56" s="774"/>
      <c r="L56" s="774"/>
      <c r="M56" s="774"/>
      <c r="N56" s="776"/>
      <c r="O56" s="788"/>
    </row>
    <row r="57" spans="3:15" ht="15.75">
      <c r="C57" s="758"/>
      <c r="D57" s="761"/>
      <c r="E57" s="760"/>
      <c r="F57" s="761"/>
      <c r="G57" s="761"/>
      <c r="H57" s="761"/>
      <c r="I57" s="761"/>
      <c r="J57" s="766"/>
      <c r="K57" s="767"/>
      <c r="L57" s="767"/>
      <c r="M57" s="767"/>
      <c r="N57" s="768"/>
      <c r="O57" s="788"/>
    </row>
    <row r="58" spans="3:15" ht="15.75">
      <c r="C58" s="983" t="s">
        <v>189</v>
      </c>
      <c r="D58" s="784"/>
      <c r="E58" s="785" t="s">
        <v>627</v>
      </c>
      <c r="F58" s="784"/>
      <c r="G58" s="784"/>
      <c r="H58" s="784"/>
      <c r="I58" s="784"/>
      <c r="J58" s="786"/>
      <c r="K58" s="787"/>
      <c r="L58" s="787"/>
      <c r="M58" s="787"/>
      <c r="N58" s="787">
        <f>SUM(M59:M73)</f>
        <v>46507760</v>
      </c>
      <c r="O58" s="1026"/>
    </row>
    <row r="59" spans="3:15" ht="15.75">
      <c r="C59" s="758">
        <v>1</v>
      </c>
      <c r="D59" s="761"/>
      <c r="E59" s="760" t="s">
        <v>866</v>
      </c>
      <c r="F59" s="761"/>
      <c r="G59" s="760"/>
      <c r="H59" s="760"/>
      <c r="I59" s="761"/>
      <c r="J59" s="804" t="s">
        <v>149</v>
      </c>
      <c r="K59" s="767">
        <v>183.3</v>
      </c>
      <c r="L59" s="767">
        <v>175000</v>
      </c>
      <c r="M59" s="767">
        <f aca="true" t="shared" si="4" ref="M59:M73">K59*L59</f>
        <v>32077500.000000004</v>
      </c>
      <c r="N59" s="768"/>
      <c r="O59" s="788"/>
    </row>
    <row r="60" spans="3:15" ht="15.75" hidden="1">
      <c r="C60" s="758">
        <f>C59+1</f>
        <v>2</v>
      </c>
      <c r="D60" s="761"/>
      <c r="E60" s="760" t="s">
        <v>867</v>
      </c>
      <c r="F60" s="761"/>
      <c r="G60" s="760"/>
      <c r="H60" s="760"/>
      <c r="I60" s="761"/>
      <c r="J60" s="804" t="s">
        <v>149</v>
      </c>
      <c r="K60" s="767"/>
      <c r="L60" s="767">
        <f>ANALISA!$N$357</f>
        <v>104110</v>
      </c>
      <c r="M60" s="767">
        <f t="shared" si="4"/>
        <v>0</v>
      </c>
      <c r="N60" s="768"/>
      <c r="O60" s="788"/>
    </row>
    <row r="61" spans="3:15" ht="15.75">
      <c r="C61" s="758">
        <v>2</v>
      </c>
      <c r="D61" s="761"/>
      <c r="E61" s="760" t="s">
        <v>1276</v>
      </c>
      <c r="F61" s="761"/>
      <c r="G61" s="760"/>
      <c r="H61" s="760"/>
      <c r="I61" s="761"/>
      <c r="J61" s="804" t="s">
        <v>149</v>
      </c>
      <c r="K61" s="767">
        <v>183.3</v>
      </c>
      <c r="L61" s="767">
        <f>55000</f>
        <v>55000</v>
      </c>
      <c r="M61" s="767">
        <f t="shared" si="4"/>
        <v>10081500</v>
      </c>
      <c r="N61" s="768"/>
      <c r="O61" s="788"/>
    </row>
    <row r="62" spans="3:15" ht="15.75" hidden="1">
      <c r="C62" s="758">
        <v>1</v>
      </c>
      <c r="D62" s="761"/>
      <c r="E62" s="760" t="s">
        <v>1191</v>
      </c>
      <c r="F62" s="761"/>
      <c r="G62" s="760"/>
      <c r="H62" s="760"/>
      <c r="I62" s="761"/>
      <c r="J62" s="804" t="s">
        <v>149</v>
      </c>
      <c r="K62" s="767"/>
      <c r="L62" s="767">
        <f>+ANALISA!$N$341</f>
        <v>68647.7</v>
      </c>
      <c r="M62" s="767">
        <f>K62*L62</f>
        <v>0</v>
      </c>
      <c r="N62" s="768"/>
      <c r="O62" s="788"/>
    </row>
    <row r="63" spans="3:15" ht="15.75" hidden="1">
      <c r="C63" s="758">
        <f>C58+1</f>
        <v>1</v>
      </c>
      <c r="D63" s="761"/>
      <c r="E63" s="760" t="s">
        <v>1190</v>
      </c>
      <c r="F63" s="761"/>
      <c r="G63" s="760"/>
      <c r="H63" s="760"/>
      <c r="I63" s="761"/>
      <c r="J63" s="804" t="s">
        <v>153</v>
      </c>
      <c r="K63" s="767"/>
      <c r="L63" s="767">
        <f>+ANALISA!$N$349</f>
        <v>88710</v>
      </c>
      <c r="M63" s="767">
        <f>K63*L63</f>
        <v>0</v>
      </c>
      <c r="N63" s="768"/>
      <c r="O63" s="788"/>
    </row>
    <row r="64" spans="3:15" ht="15.75">
      <c r="C64" s="758">
        <v>3</v>
      </c>
      <c r="D64" s="761"/>
      <c r="E64" s="760" t="s">
        <v>1277</v>
      </c>
      <c r="F64" s="761"/>
      <c r="G64" s="760"/>
      <c r="H64" s="760"/>
      <c r="I64" s="761"/>
      <c r="J64" s="804" t="s">
        <v>153</v>
      </c>
      <c r="K64" s="767">
        <v>32.5</v>
      </c>
      <c r="L64" s="767">
        <v>65000</v>
      </c>
      <c r="M64" s="767">
        <f t="shared" si="4"/>
        <v>2112500</v>
      </c>
      <c r="N64" s="768"/>
      <c r="O64" s="788"/>
    </row>
    <row r="65" spans="3:15" ht="15.75" hidden="1">
      <c r="C65" s="758">
        <f>C60+1</f>
        <v>3</v>
      </c>
      <c r="D65" s="761"/>
      <c r="E65" s="760" t="s">
        <v>868</v>
      </c>
      <c r="F65" s="761"/>
      <c r="G65" s="760"/>
      <c r="H65" s="760"/>
      <c r="I65" s="761"/>
      <c r="J65" s="804" t="s">
        <v>153</v>
      </c>
      <c r="K65" s="767"/>
      <c r="L65" s="767">
        <f>ANALISA!$N$365</f>
        <v>41900</v>
      </c>
      <c r="M65" s="767">
        <f t="shared" si="4"/>
        <v>0</v>
      </c>
      <c r="N65" s="768"/>
      <c r="O65" s="788"/>
    </row>
    <row r="66" spans="3:15" ht="15.75" hidden="1">
      <c r="C66" s="758">
        <v>3</v>
      </c>
      <c r="D66" s="761"/>
      <c r="E66" s="760" t="s">
        <v>1184</v>
      </c>
      <c r="F66" s="761"/>
      <c r="G66" s="760"/>
      <c r="H66" s="760"/>
      <c r="I66" s="761"/>
      <c r="J66" s="804" t="s">
        <v>134</v>
      </c>
      <c r="K66" s="767"/>
      <c r="L66" s="767">
        <f>+Bhn!M56</f>
        <v>3000000</v>
      </c>
      <c r="M66" s="767">
        <f t="shared" si="4"/>
        <v>0</v>
      </c>
      <c r="N66" s="768"/>
      <c r="O66" s="788"/>
    </row>
    <row r="67" spans="3:15" ht="15.75">
      <c r="C67" s="758">
        <f>C65+1</f>
        <v>4</v>
      </c>
      <c r="D67" s="761"/>
      <c r="E67" s="760" t="s">
        <v>1188</v>
      </c>
      <c r="F67" s="761"/>
      <c r="G67" s="760"/>
      <c r="H67" s="760"/>
      <c r="I67" s="761"/>
      <c r="J67" s="804" t="s">
        <v>149</v>
      </c>
      <c r="K67" s="767">
        <v>183.3</v>
      </c>
      <c r="L67" s="767">
        <v>12200</v>
      </c>
      <c r="M67" s="767">
        <f t="shared" si="4"/>
        <v>2236260</v>
      </c>
      <c r="N67" s="768"/>
      <c r="O67" s="788"/>
    </row>
    <row r="68" spans="3:15" ht="15.75" hidden="1">
      <c r="C68" s="758">
        <f>C67+1</f>
        <v>5</v>
      </c>
      <c r="D68" s="761"/>
      <c r="E68" s="760" t="s">
        <v>1111</v>
      </c>
      <c r="F68" s="761"/>
      <c r="G68" s="760"/>
      <c r="H68" s="760"/>
      <c r="I68" s="761"/>
      <c r="J68" s="804" t="s">
        <v>149</v>
      </c>
      <c r="K68" s="767"/>
      <c r="L68" s="767">
        <f>(370000*1.4)</f>
        <v>517999.99999999994</v>
      </c>
      <c r="M68" s="767">
        <f t="shared" si="4"/>
        <v>0</v>
      </c>
      <c r="N68" s="768"/>
      <c r="O68" s="788"/>
    </row>
    <row r="69" spans="3:15" ht="15.75" hidden="1">
      <c r="C69" s="758">
        <f>C68+1</f>
        <v>6</v>
      </c>
      <c r="D69" s="761"/>
      <c r="E69" s="760" t="s">
        <v>1112</v>
      </c>
      <c r="F69" s="761"/>
      <c r="G69" s="760"/>
      <c r="H69" s="760"/>
      <c r="I69" s="761"/>
      <c r="J69" s="804" t="s">
        <v>149</v>
      </c>
      <c r="K69" s="767"/>
      <c r="L69" s="767">
        <f>225000*1.4</f>
        <v>315000</v>
      </c>
      <c r="M69" s="767">
        <f t="shared" si="4"/>
        <v>0</v>
      </c>
      <c r="N69" s="768"/>
      <c r="O69" s="788"/>
    </row>
    <row r="70" spans="3:15" ht="15.75" hidden="1">
      <c r="C70" s="758">
        <f>C69+1</f>
        <v>7</v>
      </c>
      <c r="D70" s="761"/>
      <c r="E70" s="760" t="s">
        <v>869</v>
      </c>
      <c r="F70" s="761"/>
      <c r="G70" s="760"/>
      <c r="H70" s="760"/>
      <c r="I70" s="761"/>
      <c r="J70" s="804" t="s">
        <v>148</v>
      </c>
      <c r="K70" s="767"/>
      <c r="L70" s="767">
        <f>ANALISA!$N$506</f>
        <v>10813</v>
      </c>
      <c r="M70" s="767">
        <f t="shared" si="4"/>
        <v>0</v>
      </c>
      <c r="N70" s="768"/>
      <c r="O70" s="788"/>
    </row>
    <row r="71" spans="3:15" ht="15.75" hidden="1">
      <c r="C71" s="758">
        <v>5</v>
      </c>
      <c r="D71" s="761"/>
      <c r="E71" s="840" t="s">
        <v>481</v>
      </c>
      <c r="F71" s="803"/>
      <c r="G71" s="818"/>
      <c r="H71" s="818"/>
      <c r="I71" s="803"/>
      <c r="J71" s="804" t="s">
        <v>153</v>
      </c>
      <c r="K71" s="769"/>
      <c r="L71" s="769">
        <f>ANALISA!$N$382*0.25</f>
        <v>61679.75</v>
      </c>
      <c r="M71" s="769">
        <f t="shared" si="4"/>
        <v>0</v>
      </c>
      <c r="N71" s="768"/>
      <c r="O71" s="788"/>
    </row>
    <row r="72" spans="3:15" ht="15.75" hidden="1">
      <c r="C72" s="758">
        <v>6</v>
      </c>
      <c r="D72" s="761"/>
      <c r="E72" s="760" t="s">
        <v>870</v>
      </c>
      <c r="F72" s="761"/>
      <c r="G72" s="760"/>
      <c r="H72" s="760"/>
      <c r="I72" s="761"/>
      <c r="J72" s="804" t="s">
        <v>149</v>
      </c>
      <c r="K72" s="767"/>
      <c r="L72" s="767">
        <f>ANALISA!$N$398</f>
        <v>42079.5</v>
      </c>
      <c r="M72" s="767">
        <f t="shared" si="4"/>
        <v>0</v>
      </c>
      <c r="N72" s="768"/>
      <c r="O72" s="788"/>
    </row>
    <row r="73" spans="3:15" ht="15.75" hidden="1">
      <c r="C73" s="758">
        <f>C72+1</f>
        <v>7</v>
      </c>
      <c r="D73" s="761"/>
      <c r="E73" s="760" t="s">
        <v>929</v>
      </c>
      <c r="F73" s="761"/>
      <c r="G73" s="760"/>
      <c r="H73" s="760"/>
      <c r="I73" s="761"/>
      <c r="J73" s="804" t="s">
        <v>153</v>
      </c>
      <c r="K73" s="767"/>
      <c r="L73" s="767">
        <f>L395/4</f>
        <v>38890</v>
      </c>
      <c r="M73" s="767">
        <f t="shared" si="4"/>
        <v>0</v>
      </c>
      <c r="N73" s="768"/>
      <c r="O73" s="788"/>
    </row>
    <row r="74" spans="3:15" ht="15.75">
      <c r="C74" s="770"/>
      <c r="D74" s="771"/>
      <c r="E74" s="772"/>
      <c r="F74" s="771"/>
      <c r="G74" s="771"/>
      <c r="H74" s="771"/>
      <c r="I74" s="771"/>
      <c r="J74" s="773"/>
      <c r="K74" s="774"/>
      <c r="L74" s="774"/>
      <c r="M74" s="774"/>
      <c r="N74" s="774"/>
      <c r="O74" s="1024"/>
    </row>
    <row r="75" spans="3:15" ht="15.75">
      <c r="C75" s="758"/>
      <c r="D75" s="761"/>
      <c r="E75" s="760"/>
      <c r="F75" s="761"/>
      <c r="G75" s="761"/>
      <c r="H75" s="761"/>
      <c r="I75" s="761"/>
      <c r="J75" s="766"/>
      <c r="K75" s="767"/>
      <c r="L75" s="767"/>
      <c r="M75" s="767"/>
      <c r="N75" s="801"/>
      <c r="O75" s="1024"/>
    </row>
    <row r="76" spans="3:15" ht="15.75">
      <c r="C76" s="983" t="s">
        <v>8</v>
      </c>
      <c r="D76" s="784"/>
      <c r="E76" s="785" t="s">
        <v>290</v>
      </c>
      <c r="F76" s="784"/>
      <c r="G76" s="784"/>
      <c r="H76" s="784"/>
      <c r="I76" s="784"/>
      <c r="J76" s="786"/>
      <c r="K76" s="787"/>
      <c r="L76" s="787"/>
      <c r="M76" s="787"/>
      <c r="N76" s="787">
        <f>SUM(M77:M83)</f>
        <v>34910109.072</v>
      </c>
      <c r="O76" s="1026"/>
    </row>
    <row r="77" spans="3:15" ht="15.75">
      <c r="C77" s="758">
        <v>1</v>
      </c>
      <c r="D77" s="761"/>
      <c r="E77" s="760" t="s">
        <v>5</v>
      </c>
      <c r="F77" s="761"/>
      <c r="G77" s="761" t="s">
        <v>292</v>
      </c>
      <c r="H77" s="761"/>
      <c r="I77" s="761"/>
      <c r="J77" s="766" t="s">
        <v>149</v>
      </c>
      <c r="K77" s="767">
        <v>402.76</v>
      </c>
      <c r="L77" s="767">
        <f>ANALISA!$N$63</f>
        <v>49538</v>
      </c>
      <c r="M77" s="767">
        <f aca="true" t="shared" si="5" ref="M77:M83">K77*L77</f>
        <v>19951924.88</v>
      </c>
      <c r="N77" s="767"/>
      <c r="O77" s="1024"/>
    </row>
    <row r="78" spans="3:15" ht="15.75" hidden="1">
      <c r="C78" s="758">
        <f aca="true" t="shared" si="6" ref="C78:C83">C77+1</f>
        <v>2</v>
      </c>
      <c r="D78" s="761"/>
      <c r="E78" s="760" t="s">
        <v>115</v>
      </c>
      <c r="F78" s="761"/>
      <c r="G78" s="761" t="s">
        <v>292</v>
      </c>
      <c r="H78" s="761"/>
      <c r="I78" s="761"/>
      <c r="J78" s="766" t="s">
        <v>149</v>
      </c>
      <c r="K78" s="767"/>
      <c r="L78" s="767">
        <f>ANALISA!$N$54</f>
        <v>53610.75</v>
      </c>
      <c r="M78" s="767">
        <f t="shared" si="5"/>
        <v>0</v>
      </c>
      <c r="N78" s="767"/>
      <c r="O78" s="1024"/>
    </row>
    <row r="79" spans="3:15" ht="15.75">
      <c r="C79" s="758">
        <v>2</v>
      </c>
      <c r="D79" s="761"/>
      <c r="E79" s="760" t="s">
        <v>6</v>
      </c>
      <c r="F79" s="761"/>
      <c r="G79" s="761" t="s">
        <v>293</v>
      </c>
      <c r="H79" s="761"/>
      <c r="I79" s="761"/>
      <c r="J79" s="766" t="s">
        <v>149</v>
      </c>
      <c r="K79" s="767">
        <v>805.52</v>
      </c>
      <c r="L79" s="767">
        <f>ANALISA!$N$87</f>
        <v>18569.6</v>
      </c>
      <c r="M79" s="767">
        <f t="shared" si="5"/>
        <v>14958184.191999998</v>
      </c>
      <c r="N79" s="768"/>
      <c r="O79" s="788"/>
    </row>
    <row r="80" spans="3:15" ht="15.75" hidden="1">
      <c r="C80" s="758">
        <f t="shared" si="6"/>
        <v>3</v>
      </c>
      <c r="D80" s="761"/>
      <c r="E80" s="760" t="s">
        <v>117</v>
      </c>
      <c r="F80" s="761"/>
      <c r="G80" s="761" t="s">
        <v>293</v>
      </c>
      <c r="H80" s="761"/>
      <c r="I80" s="761"/>
      <c r="J80" s="766" t="s">
        <v>149</v>
      </c>
      <c r="K80" s="767"/>
      <c r="L80" s="767">
        <f>ANALISA!$N$71</f>
        <v>21258</v>
      </c>
      <c r="M80" s="767">
        <f t="shared" si="5"/>
        <v>0</v>
      </c>
      <c r="N80" s="768"/>
      <c r="O80" s="788"/>
    </row>
    <row r="81" spans="3:22" ht="15.75" hidden="1">
      <c r="C81" s="758">
        <f t="shared" si="6"/>
        <v>4</v>
      </c>
      <c r="D81" s="761"/>
      <c r="E81" s="760" t="s">
        <v>871</v>
      </c>
      <c r="F81" s="761"/>
      <c r="G81" s="761"/>
      <c r="H81" s="761"/>
      <c r="I81" s="761"/>
      <c r="J81" s="766" t="s">
        <v>153</v>
      </c>
      <c r="K81" s="767"/>
      <c r="L81" s="767">
        <f>ANALISA!$N$103</f>
        <v>5422.4</v>
      </c>
      <c r="M81" s="767">
        <f t="shared" si="5"/>
        <v>0</v>
      </c>
      <c r="N81" s="768"/>
      <c r="O81" s="788"/>
      <c r="V81" s="616">
        <f>1713/2536</f>
        <v>0.6754731861198738</v>
      </c>
    </row>
    <row r="82" spans="3:15" ht="15.75" hidden="1">
      <c r="C82" s="758">
        <v>3</v>
      </c>
      <c r="D82" s="761"/>
      <c r="E82" s="760" t="s">
        <v>291</v>
      </c>
      <c r="F82" s="761"/>
      <c r="G82" s="761"/>
      <c r="H82" s="761"/>
      <c r="I82" s="761"/>
      <c r="J82" s="766" t="s">
        <v>139</v>
      </c>
      <c r="K82" s="767"/>
      <c r="L82" s="767">
        <f>ANALISA!$N$522</f>
        <v>86275.84</v>
      </c>
      <c r="M82" s="767">
        <f t="shared" si="5"/>
        <v>0</v>
      </c>
      <c r="N82" s="768"/>
      <c r="O82" s="788"/>
    </row>
    <row r="83" spans="3:15" ht="15.75" hidden="1">
      <c r="C83" s="758">
        <f t="shared" si="6"/>
        <v>4</v>
      </c>
      <c r="D83" s="761"/>
      <c r="E83" s="760" t="s">
        <v>892</v>
      </c>
      <c r="F83" s="761"/>
      <c r="G83" s="760" t="s">
        <v>294</v>
      </c>
      <c r="H83" s="760"/>
      <c r="I83" s="761"/>
      <c r="J83" s="766" t="s">
        <v>153</v>
      </c>
      <c r="K83" s="767"/>
      <c r="L83" s="767">
        <f>ANALISA!$N$515</f>
        <v>99171.53837499999</v>
      </c>
      <c r="M83" s="767">
        <f t="shared" si="5"/>
        <v>0</v>
      </c>
      <c r="N83" s="768"/>
      <c r="O83" s="788"/>
    </row>
    <row r="84" spans="3:15" ht="15.75">
      <c r="C84" s="770"/>
      <c r="D84" s="771"/>
      <c r="E84" s="772"/>
      <c r="F84" s="771"/>
      <c r="G84" s="771"/>
      <c r="H84" s="771"/>
      <c r="I84" s="771"/>
      <c r="J84" s="773"/>
      <c r="K84" s="774"/>
      <c r="L84" s="774"/>
      <c r="M84" s="774"/>
      <c r="N84" s="776"/>
      <c r="O84" s="788"/>
    </row>
    <row r="85" spans="3:22" ht="15.75">
      <c r="C85" s="807"/>
      <c r="D85" s="808"/>
      <c r="E85" s="809"/>
      <c r="F85" s="810"/>
      <c r="G85" s="810"/>
      <c r="H85" s="810"/>
      <c r="I85" s="810"/>
      <c r="J85" s="811"/>
      <c r="K85" s="812"/>
      <c r="L85" s="812"/>
      <c r="M85" s="812"/>
      <c r="N85" s="813"/>
      <c r="O85" s="1027"/>
      <c r="V85" s="617">
        <f>1035/1792</f>
        <v>0.5775669642857143</v>
      </c>
    </row>
    <row r="86" spans="3:15" ht="15.75">
      <c r="C86" s="983" t="s">
        <v>309</v>
      </c>
      <c r="D86" s="784"/>
      <c r="E86" s="785" t="s">
        <v>295</v>
      </c>
      <c r="F86" s="784"/>
      <c r="G86" s="784"/>
      <c r="H86" s="784"/>
      <c r="I86" s="784"/>
      <c r="J86" s="786"/>
      <c r="K86" s="787"/>
      <c r="L86" s="787"/>
      <c r="M86" s="787"/>
      <c r="N86" s="787">
        <f>SUM(M87:M102)</f>
        <v>20462139.3</v>
      </c>
      <c r="O86" s="1026"/>
    </row>
    <row r="87" spans="3:15" ht="15.75">
      <c r="C87" s="758">
        <v>1</v>
      </c>
      <c r="D87" s="759"/>
      <c r="E87" s="760" t="s">
        <v>113</v>
      </c>
      <c r="F87" s="759"/>
      <c r="G87" s="761" t="s">
        <v>1250</v>
      </c>
      <c r="H87" s="759"/>
      <c r="I87" s="814"/>
      <c r="J87" s="815" t="s">
        <v>134</v>
      </c>
      <c r="K87" s="816">
        <v>10.44</v>
      </c>
      <c r="L87" s="767">
        <f>ANALISA!$N$27</f>
        <v>93400</v>
      </c>
      <c r="M87" s="767">
        <f aca="true" t="shared" si="7" ref="M87:M94">K87*L87</f>
        <v>975096</v>
      </c>
      <c r="N87" s="767"/>
      <c r="O87" s="1024"/>
    </row>
    <row r="88" spans="3:15" ht="15.75">
      <c r="C88" s="758">
        <f>C87+1</f>
        <v>2</v>
      </c>
      <c r="D88" s="759"/>
      <c r="E88" s="760" t="s">
        <v>118</v>
      </c>
      <c r="F88" s="761"/>
      <c r="G88" s="760" t="s">
        <v>1252</v>
      </c>
      <c r="H88" s="760"/>
      <c r="I88" s="761"/>
      <c r="J88" s="815" t="s">
        <v>134</v>
      </c>
      <c r="K88" s="816">
        <v>5.22</v>
      </c>
      <c r="L88" s="767">
        <f>ANALISA!$N$105</f>
        <v>467450</v>
      </c>
      <c r="M88" s="767">
        <f t="shared" si="7"/>
        <v>2440089</v>
      </c>
      <c r="N88" s="767"/>
      <c r="O88" s="1024"/>
    </row>
    <row r="89" spans="3:15" ht="15.75" hidden="1">
      <c r="C89" s="758">
        <f>C88+1</f>
        <v>3</v>
      </c>
      <c r="D89" s="759"/>
      <c r="E89" s="760" t="s">
        <v>1072</v>
      </c>
      <c r="F89" s="761"/>
      <c r="G89" s="817"/>
      <c r="H89" s="803" t="s">
        <v>1071</v>
      </c>
      <c r="I89" s="761"/>
      <c r="J89" s="766" t="s">
        <v>153</v>
      </c>
      <c r="K89" s="816"/>
      <c r="L89" s="769">
        <f>ANALISA!$N$246</f>
        <v>17075.8</v>
      </c>
      <c r="M89" s="767">
        <f t="shared" si="7"/>
        <v>0</v>
      </c>
      <c r="N89" s="767"/>
      <c r="O89" s="1024"/>
    </row>
    <row r="90" spans="3:15" ht="15.75">
      <c r="C90" s="758">
        <v>3</v>
      </c>
      <c r="D90" s="803"/>
      <c r="E90" s="760" t="s">
        <v>1154</v>
      </c>
      <c r="F90" s="803"/>
      <c r="G90" s="817"/>
      <c r="H90" s="803" t="s">
        <v>1071</v>
      </c>
      <c r="I90" s="803"/>
      <c r="J90" s="804" t="s">
        <v>149</v>
      </c>
      <c r="K90" s="769">
        <v>68.84</v>
      </c>
      <c r="L90" s="769">
        <f>ANALISA!$N$226</f>
        <v>135758</v>
      </c>
      <c r="M90" s="767">
        <f t="shared" si="7"/>
        <v>9345580.72</v>
      </c>
      <c r="N90" s="769"/>
      <c r="O90" s="1028"/>
    </row>
    <row r="91" spans="3:15" ht="15.75">
      <c r="C91" s="758">
        <f>C90+1</f>
        <v>4</v>
      </c>
      <c r="D91" s="803"/>
      <c r="E91" s="760" t="s">
        <v>1266</v>
      </c>
      <c r="F91" s="803"/>
      <c r="G91" s="817"/>
      <c r="H91" s="803" t="s">
        <v>1251</v>
      </c>
      <c r="I91" s="803"/>
      <c r="J91" s="804" t="s">
        <v>149</v>
      </c>
      <c r="K91" s="769">
        <v>13.27</v>
      </c>
      <c r="L91" s="769">
        <f>+ANALISA!N195</f>
        <v>95758</v>
      </c>
      <c r="M91" s="767">
        <f t="shared" si="7"/>
        <v>1270708.66</v>
      </c>
      <c r="N91" s="769"/>
      <c r="O91" s="1028"/>
    </row>
    <row r="92" spans="3:15" ht="15.75">
      <c r="C92" s="758">
        <f>C91+1</f>
        <v>5</v>
      </c>
      <c r="D92" s="803"/>
      <c r="E92" s="760" t="s">
        <v>1273</v>
      </c>
      <c r="F92" s="803"/>
      <c r="G92" s="817"/>
      <c r="H92" s="803"/>
      <c r="I92" s="803"/>
      <c r="J92" s="804" t="s">
        <v>149</v>
      </c>
      <c r="K92" s="768">
        <v>17.02</v>
      </c>
      <c r="L92" s="769">
        <f>+L91</f>
        <v>95758</v>
      </c>
      <c r="M92" s="767">
        <f>K92*L92</f>
        <v>1629801.16</v>
      </c>
      <c r="N92" s="769"/>
      <c r="O92" s="1028"/>
    </row>
    <row r="93" spans="3:15" ht="15.75">
      <c r="C93" s="758">
        <v>6</v>
      </c>
      <c r="D93" s="803"/>
      <c r="E93" s="760" t="s">
        <v>1267</v>
      </c>
      <c r="F93" s="803"/>
      <c r="G93" s="817"/>
      <c r="H93" s="803" t="s">
        <v>1251</v>
      </c>
      <c r="I93" s="803"/>
      <c r="J93" s="804" t="s">
        <v>149</v>
      </c>
      <c r="K93" s="769">
        <v>5.27</v>
      </c>
      <c r="L93" s="769">
        <f>+ANALISA!N175</f>
        <v>85758</v>
      </c>
      <c r="M93" s="767">
        <f>K93*L93</f>
        <v>451944.66</v>
      </c>
      <c r="N93" s="769"/>
      <c r="O93" s="1028"/>
    </row>
    <row r="94" spans="3:15" ht="15.75" hidden="1">
      <c r="C94" s="758">
        <v>5</v>
      </c>
      <c r="D94" s="803"/>
      <c r="E94" s="818" t="s">
        <v>1247</v>
      </c>
      <c r="F94" s="803"/>
      <c r="G94" s="803"/>
      <c r="H94" s="803" t="s">
        <v>1248</v>
      </c>
      <c r="I94" s="803"/>
      <c r="J94" s="815" t="s">
        <v>134</v>
      </c>
      <c r="K94" s="769"/>
      <c r="L94" s="769">
        <f>L88</f>
        <v>467450</v>
      </c>
      <c r="M94" s="767">
        <f t="shared" si="7"/>
        <v>0</v>
      </c>
      <c r="N94" s="769"/>
      <c r="O94" s="1028"/>
    </row>
    <row r="95" spans="3:15" ht="15.75" hidden="1">
      <c r="C95" s="766">
        <v>6</v>
      </c>
      <c r="D95" s="761"/>
      <c r="E95" s="817" t="s">
        <v>1249</v>
      </c>
      <c r="F95" s="817"/>
      <c r="G95" s="817"/>
      <c r="H95" s="817" t="s">
        <v>1101</v>
      </c>
      <c r="I95" s="817"/>
      <c r="J95" s="815" t="s">
        <v>149</v>
      </c>
      <c r="K95" s="768"/>
      <c r="L95" s="769">
        <f>ANALISA!$N$483</f>
        <v>74530</v>
      </c>
      <c r="M95" s="768">
        <f>L95*K95</f>
        <v>0</v>
      </c>
      <c r="N95" s="765"/>
      <c r="O95" s="814"/>
    </row>
    <row r="96" spans="3:15" ht="15.75" hidden="1">
      <c r="C96" s="758">
        <v>7</v>
      </c>
      <c r="D96" s="803"/>
      <c r="E96" s="760" t="s">
        <v>1020</v>
      </c>
      <c r="F96" s="803"/>
      <c r="H96" s="803" t="s">
        <v>1019</v>
      </c>
      <c r="I96" s="803"/>
      <c r="J96" s="804" t="s">
        <v>149</v>
      </c>
      <c r="K96" s="769"/>
      <c r="L96" s="767">
        <f>ANALISA!$N$277</f>
        <v>95758</v>
      </c>
      <c r="M96" s="767">
        <f aca="true" t="shared" si="8" ref="M96:M102">K96*L96</f>
        <v>0</v>
      </c>
      <c r="N96" s="769"/>
      <c r="O96" s="1028"/>
    </row>
    <row r="97" spans="3:15" ht="15.75">
      <c r="C97" s="758">
        <v>7</v>
      </c>
      <c r="D97" s="803"/>
      <c r="E97" s="760" t="s">
        <v>1268</v>
      </c>
      <c r="F97" s="803"/>
      <c r="G97" s="817"/>
      <c r="H97" s="803" t="s">
        <v>1240</v>
      </c>
      <c r="I97" s="803"/>
      <c r="J97" s="804" t="s">
        <v>149</v>
      </c>
      <c r="K97" s="769">
        <v>27.2</v>
      </c>
      <c r="L97" s="767">
        <f>+ANALISA!N286</f>
        <v>87758</v>
      </c>
      <c r="M97" s="767">
        <f t="shared" si="8"/>
        <v>2387017.6</v>
      </c>
      <c r="N97" s="769"/>
      <c r="O97" s="1028"/>
    </row>
    <row r="98" spans="3:15" ht="15.75" hidden="1">
      <c r="C98" s="758">
        <f>C97+1</f>
        <v>8</v>
      </c>
      <c r="D98" s="803"/>
      <c r="E98" s="760" t="s">
        <v>872</v>
      </c>
      <c r="F98" s="803"/>
      <c r="G98" s="817"/>
      <c r="H98" s="803" t="s">
        <v>1150</v>
      </c>
      <c r="I98" s="803"/>
      <c r="J98" s="804" t="s">
        <v>149</v>
      </c>
      <c r="K98" s="769"/>
      <c r="L98" s="769">
        <f>$L$97</f>
        <v>87758</v>
      </c>
      <c r="M98" s="767">
        <f t="shared" si="8"/>
        <v>0</v>
      </c>
      <c r="N98" s="769"/>
      <c r="O98" s="1028"/>
    </row>
    <row r="99" spans="3:15" ht="15.75" hidden="1">
      <c r="C99" s="758">
        <v>9</v>
      </c>
      <c r="D99" s="803"/>
      <c r="E99" s="760" t="s">
        <v>1254</v>
      </c>
      <c r="F99" s="803"/>
      <c r="G99" s="817"/>
      <c r="H99" s="803"/>
      <c r="I99" s="803"/>
      <c r="J99" s="804" t="s">
        <v>149</v>
      </c>
      <c r="K99" s="769"/>
      <c r="L99" s="769">
        <f>+ANALISA!N323</f>
        <v>0</v>
      </c>
      <c r="M99" s="767">
        <f>K99*L99</f>
        <v>0</v>
      </c>
      <c r="N99" s="769"/>
      <c r="O99" s="1028"/>
    </row>
    <row r="100" spans="3:15" ht="15.75">
      <c r="C100" s="758">
        <v>8</v>
      </c>
      <c r="D100" s="803"/>
      <c r="E100" s="760" t="s">
        <v>1274</v>
      </c>
      <c r="F100" s="803"/>
      <c r="G100" s="817"/>
      <c r="H100" s="803"/>
      <c r="I100" s="803"/>
      <c r="J100" s="804" t="s">
        <v>149</v>
      </c>
      <c r="K100" s="767">
        <v>17.65</v>
      </c>
      <c r="L100" s="769">
        <v>75000</v>
      </c>
      <c r="M100" s="767">
        <f t="shared" si="8"/>
        <v>1323750</v>
      </c>
      <c r="N100" s="769"/>
      <c r="O100" s="1028"/>
    </row>
    <row r="101" spans="3:15" ht="15.75">
      <c r="C101" s="758">
        <f>C100+1</f>
        <v>9</v>
      </c>
      <c r="D101" s="803"/>
      <c r="E101" s="760" t="s">
        <v>1253</v>
      </c>
      <c r="F101" s="803"/>
      <c r="G101" s="817"/>
      <c r="H101" s="803"/>
      <c r="I101" s="803"/>
      <c r="J101" s="804" t="s">
        <v>149</v>
      </c>
      <c r="K101" s="767">
        <v>3.5</v>
      </c>
      <c r="L101" s="769">
        <f>+ANALISA!N315</f>
        <v>182329</v>
      </c>
      <c r="M101" s="767">
        <f t="shared" si="8"/>
        <v>638151.5</v>
      </c>
      <c r="N101" s="769"/>
      <c r="O101" s="1028"/>
    </row>
    <row r="102" spans="3:15" ht="15.75" hidden="1">
      <c r="C102" s="758">
        <f>C98+1</f>
        <v>9</v>
      </c>
      <c r="D102" s="803"/>
      <c r="E102" s="818" t="s">
        <v>873</v>
      </c>
      <c r="F102" s="803"/>
      <c r="G102" s="803"/>
      <c r="H102" s="803"/>
      <c r="I102" s="803"/>
      <c r="J102" s="804" t="s">
        <v>153</v>
      </c>
      <c r="K102" s="769"/>
      <c r="L102" s="769">
        <f>ANALISA!$N$296</f>
        <v>73468.75</v>
      </c>
      <c r="M102" s="767">
        <f t="shared" si="8"/>
        <v>0</v>
      </c>
      <c r="N102" s="769"/>
      <c r="O102" s="1028"/>
    </row>
    <row r="103" spans="3:15" ht="15.75">
      <c r="C103" s="819"/>
      <c r="D103" s="820"/>
      <c r="E103" s="821"/>
      <c r="F103" s="820"/>
      <c r="G103" s="821"/>
      <c r="H103" s="821"/>
      <c r="I103" s="820"/>
      <c r="J103" s="822"/>
      <c r="K103" s="823"/>
      <c r="L103" s="775"/>
      <c r="M103" s="775"/>
      <c r="N103" s="775"/>
      <c r="O103" s="1028"/>
    </row>
    <row r="104" spans="3:15" ht="15.75">
      <c r="C104" s="807"/>
      <c r="D104" s="808"/>
      <c r="E104" s="809"/>
      <c r="F104" s="810"/>
      <c r="G104" s="824"/>
      <c r="H104" s="824"/>
      <c r="I104" s="810"/>
      <c r="J104" s="811"/>
      <c r="K104" s="825"/>
      <c r="L104" s="812"/>
      <c r="M104" s="812"/>
      <c r="N104" s="812"/>
      <c r="O104" s="1028"/>
    </row>
    <row r="105" spans="3:15" ht="15.75">
      <c r="C105" s="983" t="s">
        <v>507</v>
      </c>
      <c r="D105" s="784"/>
      <c r="E105" s="785" t="s">
        <v>298</v>
      </c>
      <c r="F105" s="784"/>
      <c r="G105" s="784"/>
      <c r="H105" s="784"/>
      <c r="I105" s="784"/>
      <c r="J105" s="786"/>
      <c r="K105" s="787"/>
      <c r="L105" s="787"/>
      <c r="M105" s="787"/>
      <c r="N105" s="787">
        <f>SUM(M107:M133)</f>
        <v>19824169</v>
      </c>
      <c r="O105" s="1026"/>
    </row>
    <row r="106" spans="3:15" ht="15.75">
      <c r="C106" s="783"/>
      <c r="D106" s="784"/>
      <c r="E106" s="785" t="s">
        <v>465</v>
      </c>
      <c r="F106" s="784"/>
      <c r="G106" s="784"/>
      <c r="H106" s="784"/>
      <c r="I106" s="784"/>
      <c r="J106" s="786"/>
      <c r="K106" s="787"/>
      <c r="L106" s="787"/>
      <c r="M106" s="787"/>
      <c r="N106" s="787"/>
      <c r="O106" s="1026"/>
    </row>
    <row r="107" spans="3:15" ht="15.75">
      <c r="C107" s="826">
        <v>1</v>
      </c>
      <c r="D107" s="784"/>
      <c r="E107" s="760" t="s">
        <v>1279</v>
      </c>
      <c r="F107" s="784"/>
      <c r="G107" s="803"/>
      <c r="H107" s="784"/>
      <c r="I107" s="784"/>
      <c r="J107" s="827" t="s">
        <v>161</v>
      </c>
      <c r="K107" s="769">
        <v>1</v>
      </c>
      <c r="L107" s="767">
        <f>ANALISA!N696</f>
        <v>2269000</v>
      </c>
      <c r="M107" s="769">
        <f aca="true" t="shared" si="9" ref="M107:M133">K107*L107</f>
        <v>2269000</v>
      </c>
      <c r="N107" s="787"/>
      <c r="O107" s="1026"/>
    </row>
    <row r="108" spans="3:15" ht="15.75">
      <c r="C108" s="826">
        <v>2</v>
      </c>
      <c r="D108" s="784"/>
      <c r="E108" s="760" t="s">
        <v>1226</v>
      </c>
      <c r="F108" s="784"/>
      <c r="G108" s="803"/>
      <c r="H108" s="784"/>
      <c r="I108" s="784"/>
      <c r="J108" s="827" t="s">
        <v>161</v>
      </c>
      <c r="K108" s="769">
        <v>1</v>
      </c>
      <c r="L108" s="767">
        <f>+L118*1.2</f>
        <v>1405104</v>
      </c>
      <c r="M108" s="769">
        <f>K108*L108</f>
        <v>1405104</v>
      </c>
      <c r="N108" s="787"/>
      <c r="O108" s="1026"/>
    </row>
    <row r="109" spans="3:15" ht="15.75" hidden="1">
      <c r="C109" s="826">
        <f>C107+1</f>
        <v>2</v>
      </c>
      <c r="D109" s="784"/>
      <c r="E109" s="760" t="s">
        <v>1228</v>
      </c>
      <c r="F109" s="784"/>
      <c r="G109" s="803"/>
      <c r="H109" s="784"/>
      <c r="I109" s="784"/>
      <c r="J109" s="827" t="s">
        <v>149</v>
      </c>
      <c r="K109" s="769"/>
      <c r="L109" s="767">
        <v>485000</v>
      </c>
      <c r="M109" s="769">
        <f t="shared" si="9"/>
        <v>0</v>
      </c>
      <c r="N109" s="787"/>
      <c r="O109" s="1026"/>
    </row>
    <row r="110" spans="3:15" ht="15.75">
      <c r="C110" s="826">
        <f>C109+1</f>
        <v>3</v>
      </c>
      <c r="D110" s="784"/>
      <c r="E110" s="760" t="s">
        <v>1283</v>
      </c>
      <c r="F110" s="784"/>
      <c r="G110" s="803"/>
      <c r="H110" s="784"/>
      <c r="I110" s="784"/>
      <c r="J110" s="827" t="s">
        <v>161</v>
      </c>
      <c r="K110" s="769">
        <v>4</v>
      </c>
      <c r="L110" s="767">
        <f>+ANALISA!N706</f>
        <v>717040</v>
      </c>
      <c r="M110" s="769">
        <f t="shared" si="9"/>
        <v>2868160</v>
      </c>
      <c r="N110" s="787"/>
      <c r="O110" s="1026"/>
    </row>
    <row r="111" spans="3:15" ht="15.75">
      <c r="C111" s="826">
        <f>C110+1</f>
        <v>4</v>
      </c>
      <c r="D111" s="784"/>
      <c r="E111" s="760" t="s">
        <v>1284</v>
      </c>
      <c r="F111" s="784"/>
      <c r="G111" s="803"/>
      <c r="H111" s="784"/>
      <c r="I111" s="784"/>
      <c r="J111" s="827" t="s">
        <v>161</v>
      </c>
      <c r="K111" s="769">
        <v>2</v>
      </c>
      <c r="L111" s="767">
        <f>+ANALISA!N724</f>
        <v>754750</v>
      </c>
      <c r="M111" s="769">
        <f t="shared" si="9"/>
        <v>1509500</v>
      </c>
      <c r="N111" s="787"/>
      <c r="O111" s="1026"/>
    </row>
    <row r="112" spans="3:15" ht="15.75">
      <c r="C112" s="826">
        <f aca="true" t="shared" si="10" ref="C112:C133">C111+1</f>
        <v>5</v>
      </c>
      <c r="D112" s="784"/>
      <c r="E112" s="760" t="s">
        <v>1285</v>
      </c>
      <c r="F112" s="784"/>
      <c r="G112" s="803"/>
      <c r="H112" s="784"/>
      <c r="I112" s="784"/>
      <c r="J112" s="827" t="s">
        <v>161</v>
      </c>
      <c r="K112" s="769">
        <v>1</v>
      </c>
      <c r="L112" s="767">
        <f>+ANALISA!N795</f>
        <v>1032250</v>
      </c>
      <c r="M112" s="769">
        <f t="shared" si="9"/>
        <v>1032250</v>
      </c>
      <c r="N112" s="787"/>
      <c r="O112" s="1026"/>
    </row>
    <row r="113" spans="3:15" ht="15.75">
      <c r="C113" s="826">
        <f t="shared" si="10"/>
        <v>6</v>
      </c>
      <c r="D113" s="784"/>
      <c r="E113" s="760" t="s">
        <v>1281</v>
      </c>
      <c r="F113" s="784"/>
      <c r="G113" s="803"/>
      <c r="H113" s="784"/>
      <c r="I113" s="784"/>
      <c r="J113" s="827" t="s">
        <v>161</v>
      </c>
      <c r="K113" s="769">
        <v>1</v>
      </c>
      <c r="L113" s="767">
        <f>250000*2.1*2.1</f>
        <v>1102500</v>
      </c>
      <c r="M113" s="769">
        <f>K113*L113</f>
        <v>1102500</v>
      </c>
      <c r="N113" s="787"/>
      <c r="O113" s="1026"/>
    </row>
    <row r="114" spans="3:15" ht="15.75">
      <c r="C114" s="826">
        <v>7</v>
      </c>
      <c r="D114" s="784"/>
      <c r="E114" s="760" t="s">
        <v>1282</v>
      </c>
      <c r="F114" s="784"/>
      <c r="G114" s="803"/>
      <c r="H114" s="784"/>
      <c r="I114" s="784"/>
      <c r="J114" s="827" t="s">
        <v>161</v>
      </c>
      <c r="K114" s="769">
        <v>1</v>
      </c>
      <c r="L114" s="767">
        <f>250000*3*2.1</f>
        <v>1575000</v>
      </c>
      <c r="M114" s="769">
        <f t="shared" si="9"/>
        <v>1575000</v>
      </c>
      <c r="N114" s="787"/>
      <c r="O114" s="1026"/>
    </row>
    <row r="115" spans="3:15" ht="15.75">
      <c r="C115" s="826">
        <f t="shared" si="10"/>
        <v>8</v>
      </c>
      <c r="D115" s="784"/>
      <c r="E115" s="760" t="s">
        <v>1286</v>
      </c>
      <c r="F115" s="784"/>
      <c r="G115" s="803"/>
      <c r="H115" s="784"/>
      <c r="I115" s="784"/>
      <c r="J115" s="827" t="s">
        <v>161</v>
      </c>
      <c r="K115" s="769">
        <v>1</v>
      </c>
      <c r="L115" s="767">
        <f>250000*3*2.7</f>
        <v>2025000.0000000002</v>
      </c>
      <c r="M115" s="769">
        <f t="shared" si="9"/>
        <v>2025000.0000000002</v>
      </c>
      <c r="N115" s="787"/>
      <c r="O115" s="1026"/>
    </row>
    <row r="116" spans="3:15" ht="15.75" hidden="1">
      <c r="C116" s="826">
        <f t="shared" si="10"/>
        <v>9</v>
      </c>
      <c r="D116" s="784"/>
      <c r="E116" s="760" t="s">
        <v>1124</v>
      </c>
      <c r="F116" s="784"/>
      <c r="G116" s="803"/>
      <c r="H116" s="784"/>
      <c r="I116" s="784"/>
      <c r="J116" s="827" t="s">
        <v>161</v>
      </c>
      <c r="K116" s="769"/>
      <c r="L116" s="767">
        <f>+ANALISA!N764</f>
        <v>6080600</v>
      </c>
      <c r="M116" s="769">
        <f t="shared" si="9"/>
        <v>0</v>
      </c>
      <c r="N116" s="787"/>
      <c r="O116" s="1026"/>
    </row>
    <row r="117" spans="3:15" ht="15.75" hidden="1">
      <c r="C117" s="826">
        <v>10</v>
      </c>
      <c r="D117" s="784"/>
      <c r="E117" s="760" t="s">
        <v>1225</v>
      </c>
      <c r="F117" s="784"/>
      <c r="G117" s="803"/>
      <c r="H117" s="784"/>
      <c r="I117" s="784"/>
      <c r="J117" s="827" t="s">
        <v>161</v>
      </c>
      <c r="K117" s="769"/>
      <c r="L117" s="767">
        <f>+ANALISA!N775</f>
        <v>1072530</v>
      </c>
      <c r="M117" s="769">
        <f>K117*L117</f>
        <v>0</v>
      </c>
      <c r="N117" s="787"/>
      <c r="O117" s="1026"/>
    </row>
    <row r="118" spans="3:15" ht="15.75" hidden="1">
      <c r="C118" s="826">
        <v>11</v>
      </c>
      <c r="D118" s="784"/>
      <c r="E118" s="760" t="s">
        <v>1226</v>
      </c>
      <c r="F118" s="784"/>
      <c r="G118" s="803"/>
      <c r="H118" s="784"/>
      <c r="I118" s="784"/>
      <c r="J118" s="827" t="s">
        <v>161</v>
      </c>
      <c r="K118" s="769"/>
      <c r="L118" s="767">
        <f>+ANALISA!N785</f>
        <v>1170920</v>
      </c>
      <c r="M118" s="769">
        <f t="shared" si="9"/>
        <v>0</v>
      </c>
      <c r="N118" s="787"/>
      <c r="O118" s="1026"/>
    </row>
    <row r="119" spans="3:15" ht="15.75" hidden="1">
      <c r="C119" s="826">
        <v>12</v>
      </c>
      <c r="D119" s="784"/>
      <c r="E119" s="760" t="s">
        <v>1123</v>
      </c>
      <c r="F119" s="784"/>
      <c r="G119" s="803"/>
      <c r="H119" s="784"/>
      <c r="I119" s="784"/>
      <c r="J119" s="827" t="s">
        <v>161</v>
      </c>
      <c r="K119" s="769"/>
      <c r="L119" s="767">
        <f>ANALISA!N795</f>
        <v>1032250</v>
      </c>
      <c r="M119" s="769">
        <f>K119*L119</f>
        <v>0</v>
      </c>
      <c r="N119" s="787"/>
      <c r="O119" s="1026"/>
    </row>
    <row r="120" spans="3:15" ht="15.75">
      <c r="C120" s="826">
        <v>9</v>
      </c>
      <c r="D120" s="784"/>
      <c r="E120" s="760" t="s">
        <v>1125</v>
      </c>
      <c r="F120" s="784"/>
      <c r="G120" s="803"/>
      <c r="H120" s="784"/>
      <c r="I120" s="784"/>
      <c r="J120" s="827" t="s">
        <v>161</v>
      </c>
      <c r="K120" s="769">
        <v>1</v>
      </c>
      <c r="L120" s="767">
        <f>+ANALISA!N862</f>
        <v>1596225</v>
      </c>
      <c r="M120" s="769">
        <f t="shared" si="9"/>
        <v>1596225</v>
      </c>
      <c r="N120" s="787"/>
      <c r="O120" s="1026"/>
    </row>
    <row r="121" spans="3:15" ht="15.75" hidden="1">
      <c r="C121" s="826">
        <f t="shared" si="10"/>
        <v>10</v>
      </c>
      <c r="D121" s="784"/>
      <c r="E121" s="760" t="s">
        <v>1126</v>
      </c>
      <c r="F121" s="784"/>
      <c r="G121" s="803"/>
      <c r="H121" s="784"/>
      <c r="I121" s="784"/>
      <c r="J121" s="827" t="s">
        <v>161</v>
      </c>
      <c r="K121" s="769"/>
      <c r="L121" s="767">
        <f>ANALISA!N867</f>
        <v>831400</v>
      </c>
      <c r="M121" s="769">
        <f t="shared" si="9"/>
        <v>0</v>
      </c>
      <c r="N121" s="787"/>
      <c r="O121" s="1026"/>
    </row>
    <row r="122" spans="3:15" ht="15.75">
      <c r="C122" s="826">
        <v>10</v>
      </c>
      <c r="D122" s="784"/>
      <c r="E122" s="760" t="s">
        <v>1278</v>
      </c>
      <c r="F122" s="784"/>
      <c r="G122" s="803"/>
      <c r="H122" s="784"/>
      <c r="I122" s="784"/>
      <c r="J122" s="827" t="s">
        <v>161</v>
      </c>
      <c r="K122" s="769">
        <v>2</v>
      </c>
      <c r="L122" s="767">
        <f>+ANALISA!N874</f>
        <v>1460760</v>
      </c>
      <c r="M122" s="769">
        <f t="shared" si="9"/>
        <v>2921520</v>
      </c>
      <c r="N122" s="787"/>
      <c r="O122" s="1026"/>
    </row>
    <row r="123" spans="3:15" ht="15.75">
      <c r="C123" s="826">
        <f t="shared" si="10"/>
        <v>11</v>
      </c>
      <c r="D123" s="784"/>
      <c r="E123" s="760" t="s">
        <v>1127</v>
      </c>
      <c r="F123" s="784"/>
      <c r="G123" s="803"/>
      <c r="H123" s="784"/>
      <c r="I123" s="784"/>
      <c r="J123" s="827" t="s">
        <v>161</v>
      </c>
      <c r="K123" s="769">
        <v>1</v>
      </c>
      <c r="L123" s="767">
        <f>+L122-150000</f>
        <v>1310760</v>
      </c>
      <c r="M123" s="769">
        <f>K123*L123</f>
        <v>1310760</v>
      </c>
      <c r="N123" s="787"/>
      <c r="O123" s="1026"/>
    </row>
    <row r="124" spans="3:15" ht="15.75" hidden="1">
      <c r="C124" s="826">
        <f>C122+1</f>
        <v>11</v>
      </c>
      <c r="D124" s="784"/>
      <c r="E124" s="760" t="s">
        <v>1128</v>
      </c>
      <c r="F124" s="784"/>
      <c r="G124" s="803"/>
      <c r="H124" s="784"/>
      <c r="I124" s="784"/>
      <c r="J124" s="827" t="s">
        <v>161</v>
      </c>
      <c r="K124" s="769"/>
      <c r="L124" s="767">
        <f>ANALISA!N881</f>
        <v>482750</v>
      </c>
      <c r="M124" s="769">
        <f t="shared" si="9"/>
        <v>0</v>
      </c>
      <c r="N124" s="787"/>
      <c r="O124" s="1026"/>
    </row>
    <row r="125" spans="3:15" ht="15.75" hidden="1">
      <c r="C125" s="826">
        <f t="shared" si="10"/>
        <v>12</v>
      </c>
      <c r="D125" s="784"/>
      <c r="E125" s="760" t="s">
        <v>1129</v>
      </c>
      <c r="F125" s="784"/>
      <c r="G125" s="803"/>
      <c r="H125" s="784"/>
      <c r="I125" s="784"/>
      <c r="J125" s="827" t="s">
        <v>161</v>
      </c>
      <c r="K125" s="769"/>
      <c r="L125" s="767">
        <f>ANALISA!N887</f>
        <v>276340</v>
      </c>
      <c r="M125" s="769">
        <f t="shared" si="9"/>
        <v>0</v>
      </c>
      <c r="N125" s="787"/>
      <c r="O125" s="1026"/>
    </row>
    <row r="126" spans="3:15" ht="15.75" hidden="1">
      <c r="C126" s="826">
        <f t="shared" si="10"/>
        <v>13</v>
      </c>
      <c r="D126" s="784"/>
      <c r="E126" s="760" t="s">
        <v>1130</v>
      </c>
      <c r="F126" s="784"/>
      <c r="G126" s="803"/>
      <c r="H126" s="784"/>
      <c r="I126" s="784"/>
      <c r="J126" s="827" t="s">
        <v>161</v>
      </c>
      <c r="K126" s="769"/>
      <c r="L126" s="767">
        <f>ANALISA!N893</f>
        <v>1823700</v>
      </c>
      <c r="M126" s="769">
        <f t="shared" si="9"/>
        <v>0</v>
      </c>
      <c r="N126" s="787"/>
      <c r="O126" s="1026"/>
    </row>
    <row r="127" spans="3:15" ht="15.75" hidden="1">
      <c r="C127" s="826">
        <f t="shared" si="10"/>
        <v>14</v>
      </c>
      <c r="D127" s="784"/>
      <c r="E127" s="760" t="s">
        <v>1131</v>
      </c>
      <c r="F127" s="784"/>
      <c r="G127" s="803"/>
      <c r="H127" s="784"/>
      <c r="I127" s="784"/>
      <c r="J127" s="827" t="s">
        <v>161</v>
      </c>
      <c r="K127" s="769"/>
      <c r="L127" s="767">
        <f>ANALISA!N899</f>
        <v>881900</v>
      </c>
      <c r="M127" s="769">
        <f t="shared" si="9"/>
        <v>0</v>
      </c>
      <c r="N127" s="787"/>
      <c r="O127" s="1026"/>
    </row>
    <row r="128" spans="3:15" ht="15.75" hidden="1">
      <c r="C128" s="826">
        <f t="shared" si="10"/>
        <v>15</v>
      </c>
      <c r="D128" s="784"/>
      <c r="E128" s="760" t="s">
        <v>1132</v>
      </c>
      <c r="F128" s="784"/>
      <c r="G128" s="803"/>
      <c r="H128" s="784"/>
      <c r="I128" s="784"/>
      <c r="J128" s="827" t="s">
        <v>161</v>
      </c>
      <c r="K128" s="769"/>
      <c r="L128" s="767">
        <f>ANALISA!N905</f>
        <v>530500</v>
      </c>
      <c r="M128" s="769">
        <f t="shared" si="9"/>
        <v>0</v>
      </c>
      <c r="N128" s="787"/>
      <c r="O128" s="1026"/>
    </row>
    <row r="129" spans="3:15" ht="15.75" hidden="1">
      <c r="C129" s="826">
        <f t="shared" si="10"/>
        <v>16</v>
      </c>
      <c r="D129" s="784"/>
      <c r="E129" s="760" t="s">
        <v>1133</v>
      </c>
      <c r="F129" s="784"/>
      <c r="G129" s="803"/>
      <c r="H129" s="784"/>
      <c r="I129" s="784"/>
      <c r="J129" s="827" t="s">
        <v>161</v>
      </c>
      <c r="K129" s="769"/>
      <c r="L129" s="767">
        <f>ANALISA!N913</f>
        <v>763200</v>
      </c>
      <c r="M129" s="769">
        <f t="shared" si="9"/>
        <v>0</v>
      </c>
      <c r="N129" s="787"/>
      <c r="O129" s="1026"/>
    </row>
    <row r="130" spans="3:15" ht="15.75" hidden="1">
      <c r="C130" s="826">
        <f t="shared" si="10"/>
        <v>17</v>
      </c>
      <c r="D130" s="784"/>
      <c r="E130" s="760" t="s">
        <v>1134</v>
      </c>
      <c r="F130" s="784"/>
      <c r="G130" s="803"/>
      <c r="H130" s="784"/>
      <c r="I130" s="784"/>
      <c r="J130" s="827" t="s">
        <v>161</v>
      </c>
      <c r="K130" s="769"/>
      <c r="L130" s="767">
        <v>500000</v>
      </c>
      <c r="M130" s="769">
        <f t="shared" si="9"/>
        <v>0</v>
      </c>
      <c r="N130" s="787"/>
      <c r="O130" s="1026"/>
    </row>
    <row r="131" spans="3:15" ht="15.75">
      <c r="C131" s="826">
        <v>12</v>
      </c>
      <c r="D131" s="784"/>
      <c r="E131" s="760" t="s">
        <v>1135</v>
      </c>
      <c r="F131" s="784"/>
      <c r="G131" s="803"/>
      <c r="H131" s="784"/>
      <c r="I131" s="784"/>
      <c r="J131" s="827" t="s">
        <v>161</v>
      </c>
      <c r="K131" s="769">
        <v>1</v>
      </c>
      <c r="L131" s="769">
        <f>ANALISA!N922</f>
        <v>209150</v>
      </c>
      <c r="M131" s="769">
        <f t="shared" si="9"/>
        <v>209150</v>
      </c>
      <c r="N131" s="787"/>
      <c r="O131" s="1026"/>
    </row>
    <row r="132" spans="3:15" ht="15.75" hidden="1">
      <c r="C132" s="826">
        <f t="shared" si="10"/>
        <v>13</v>
      </c>
      <c r="D132" s="784"/>
      <c r="E132" s="760" t="s">
        <v>1136</v>
      </c>
      <c r="F132" s="784"/>
      <c r="G132" s="803"/>
      <c r="H132" s="784"/>
      <c r="I132" s="784"/>
      <c r="J132" s="827" t="s">
        <v>161</v>
      </c>
      <c r="K132" s="769"/>
      <c r="L132" s="769">
        <f>ANALISA!N928</f>
        <v>32318.6</v>
      </c>
      <c r="M132" s="769">
        <f t="shared" si="9"/>
        <v>0</v>
      </c>
      <c r="N132" s="787"/>
      <c r="O132" s="1026"/>
    </row>
    <row r="133" spans="3:15" ht="15.75" hidden="1">
      <c r="C133" s="826">
        <f t="shared" si="10"/>
        <v>14</v>
      </c>
      <c r="D133" s="784"/>
      <c r="E133" s="760" t="s">
        <v>736</v>
      </c>
      <c r="F133" s="784"/>
      <c r="G133" s="803"/>
      <c r="H133" s="784"/>
      <c r="I133" s="784"/>
      <c r="J133" s="827" t="s">
        <v>149</v>
      </c>
      <c r="K133" s="769"/>
      <c r="L133" s="769">
        <v>150000</v>
      </c>
      <c r="M133" s="769">
        <f t="shared" si="9"/>
        <v>0</v>
      </c>
      <c r="N133" s="769"/>
      <c r="O133" s="1028"/>
    </row>
    <row r="134" spans="3:15" ht="15.75">
      <c r="C134" s="819"/>
      <c r="D134" s="828"/>
      <c r="E134" s="829"/>
      <c r="F134" s="828"/>
      <c r="G134" s="828"/>
      <c r="H134" s="828"/>
      <c r="I134" s="828"/>
      <c r="J134" s="830"/>
      <c r="K134" s="775"/>
      <c r="L134" s="775"/>
      <c r="M134" s="775"/>
      <c r="N134" s="831"/>
      <c r="O134" s="1026"/>
    </row>
    <row r="135" spans="3:15" ht="15.75">
      <c r="C135" s="826"/>
      <c r="D135" s="784"/>
      <c r="E135" s="888"/>
      <c r="F135" s="784"/>
      <c r="G135" s="784"/>
      <c r="H135" s="784"/>
      <c r="I135" s="784"/>
      <c r="J135" s="889"/>
      <c r="K135" s="769"/>
      <c r="L135" s="769"/>
      <c r="M135" s="769"/>
      <c r="N135" s="787"/>
      <c r="O135" s="1026"/>
    </row>
    <row r="136" spans="3:15" ht="15.75">
      <c r="C136" s="983" t="s">
        <v>579</v>
      </c>
      <c r="D136" s="784"/>
      <c r="E136" s="785" t="s">
        <v>299</v>
      </c>
      <c r="F136" s="784"/>
      <c r="G136" s="784"/>
      <c r="H136" s="784"/>
      <c r="I136" s="784"/>
      <c r="J136" s="832"/>
      <c r="K136" s="787"/>
      <c r="L136" s="787"/>
      <c r="M136" s="787"/>
      <c r="N136" s="833">
        <f>SUM(M137:M141)</f>
        <v>11057830.399999999</v>
      </c>
      <c r="O136" s="1029"/>
    </row>
    <row r="137" spans="3:15" ht="15.75">
      <c r="C137" s="804">
        <v>1</v>
      </c>
      <c r="D137" s="784"/>
      <c r="E137" s="760" t="s">
        <v>1148</v>
      </c>
      <c r="F137" s="784"/>
      <c r="G137" s="784"/>
      <c r="H137" s="784"/>
      <c r="I137" s="803" t="s">
        <v>300</v>
      </c>
      <c r="J137" s="827" t="s">
        <v>149</v>
      </c>
      <c r="K137" s="769">
        <v>104.39999999999999</v>
      </c>
      <c r="L137" s="767">
        <f>ANALISA!$N$416</f>
        <v>75050</v>
      </c>
      <c r="M137" s="769">
        <f>K137*L137</f>
        <v>7835219.999999999</v>
      </c>
      <c r="N137" s="834"/>
      <c r="O137" s="1027"/>
    </row>
    <row r="138" spans="3:15" ht="15.75" hidden="1">
      <c r="C138" s="826">
        <f>C137+1</f>
        <v>2</v>
      </c>
      <c r="D138" s="784"/>
      <c r="E138" s="760" t="s">
        <v>1148</v>
      </c>
      <c r="F138" s="784"/>
      <c r="G138" s="784"/>
      <c r="H138" s="784"/>
      <c r="I138" s="803" t="s">
        <v>510</v>
      </c>
      <c r="J138" s="827" t="s">
        <v>153</v>
      </c>
      <c r="K138" s="769"/>
      <c r="L138" s="767">
        <f>$L$137/2</f>
        <v>37525</v>
      </c>
      <c r="M138" s="769">
        <f>K138*L138</f>
        <v>0</v>
      </c>
      <c r="N138" s="834"/>
      <c r="O138" s="1027"/>
    </row>
    <row r="139" spans="3:15" ht="15.75">
      <c r="C139" s="826">
        <v>2</v>
      </c>
      <c r="D139" s="784"/>
      <c r="E139" s="760" t="s">
        <v>1149</v>
      </c>
      <c r="F139" s="784"/>
      <c r="G139" s="784"/>
      <c r="H139" s="784"/>
      <c r="I139" s="803" t="s">
        <v>300</v>
      </c>
      <c r="J139" s="827" t="s">
        <v>149</v>
      </c>
      <c r="K139" s="769">
        <v>5.27</v>
      </c>
      <c r="L139" s="767">
        <f>ANALISA!$N$408</f>
        <v>70760</v>
      </c>
      <c r="M139" s="769">
        <f>K139*L139</f>
        <v>372905.19999999995</v>
      </c>
      <c r="N139" s="834"/>
      <c r="O139" s="1027"/>
    </row>
    <row r="140" spans="3:15" ht="15.75" hidden="1">
      <c r="C140" s="826">
        <f>C139+1</f>
        <v>3</v>
      </c>
      <c r="D140" s="784"/>
      <c r="E140" s="760" t="s">
        <v>1149</v>
      </c>
      <c r="F140" s="784"/>
      <c r="G140" s="784"/>
      <c r="H140" s="784"/>
      <c r="I140" s="803" t="s">
        <v>302</v>
      </c>
      <c r="J140" s="827" t="s">
        <v>149</v>
      </c>
      <c r="K140" s="769">
        <v>5.27</v>
      </c>
      <c r="L140" s="767">
        <f>$L$139</f>
        <v>70760</v>
      </c>
      <c r="M140" s="769">
        <f>K140*L140</f>
        <v>372905.19999999995</v>
      </c>
      <c r="N140" s="834"/>
      <c r="O140" s="1027"/>
    </row>
    <row r="141" spans="3:15" ht="15.75">
      <c r="C141" s="826">
        <v>3</v>
      </c>
      <c r="D141" s="784"/>
      <c r="E141" s="818" t="s">
        <v>301</v>
      </c>
      <c r="F141" s="803"/>
      <c r="G141" s="803"/>
      <c r="H141" s="803"/>
      <c r="I141" s="803"/>
      <c r="J141" s="827" t="s">
        <v>153</v>
      </c>
      <c r="K141" s="769">
        <v>165.12</v>
      </c>
      <c r="L141" s="767">
        <v>15000</v>
      </c>
      <c r="M141" s="769">
        <f>K141*L141</f>
        <v>2476800</v>
      </c>
      <c r="N141" s="834"/>
      <c r="O141" s="1027"/>
    </row>
    <row r="142" spans="3:15" ht="15.75">
      <c r="C142" s="819"/>
      <c r="D142" s="820"/>
      <c r="E142" s="821"/>
      <c r="F142" s="820"/>
      <c r="G142" s="821"/>
      <c r="H142" s="821"/>
      <c r="I142" s="820"/>
      <c r="J142" s="822"/>
      <c r="K142" s="775"/>
      <c r="L142" s="775"/>
      <c r="M142" s="775"/>
      <c r="N142" s="835"/>
      <c r="O142" s="1027"/>
    </row>
    <row r="143" spans="3:15" ht="15.75">
      <c r="C143" s="826"/>
      <c r="D143" s="803"/>
      <c r="E143" s="818"/>
      <c r="F143" s="803"/>
      <c r="G143" s="818"/>
      <c r="H143" s="818"/>
      <c r="I143" s="803"/>
      <c r="J143" s="804"/>
      <c r="K143" s="769"/>
      <c r="L143" s="769"/>
      <c r="M143" s="769"/>
      <c r="N143" s="834"/>
      <c r="O143" s="1027"/>
    </row>
    <row r="144" spans="3:15" ht="15.75">
      <c r="C144" s="983" t="s">
        <v>324</v>
      </c>
      <c r="D144" s="784"/>
      <c r="E144" s="785" t="s">
        <v>303</v>
      </c>
      <c r="F144" s="784"/>
      <c r="G144" s="784"/>
      <c r="H144" s="784"/>
      <c r="I144" s="784"/>
      <c r="J144" s="786"/>
      <c r="K144" s="787"/>
      <c r="L144" s="787"/>
      <c r="M144" s="787"/>
      <c r="N144" s="833">
        <f>SUM(M145:M148)</f>
        <v>8565696.608</v>
      </c>
      <c r="O144" s="1029"/>
    </row>
    <row r="145" spans="3:15" ht="15.75">
      <c r="C145" s="826">
        <f>C144+1</f>
        <v>1</v>
      </c>
      <c r="D145" s="803"/>
      <c r="E145" s="818" t="s">
        <v>1223</v>
      </c>
      <c r="F145" s="803"/>
      <c r="G145" s="817"/>
      <c r="H145" s="803"/>
      <c r="I145" s="803"/>
      <c r="J145" s="804" t="s">
        <v>149</v>
      </c>
      <c r="K145" s="769">
        <v>805.52</v>
      </c>
      <c r="L145" s="769">
        <f>ANALISA!$N$441</f>
        <v>8967.4</v>
      </c>
      <c r="M145" s="769">
        <f>K145*L145</f>
        <v>7223420.0479999995</v>
      </c>
      <c r="N145" s="834"/>
      <c r="O145" s="1027"/>
    </row>
    <row r="146" spans="3:15" ht="15.75" hidden="1">
      <c r="C146" s="826">
        <f>C145+1</f>
        <v>2</v>
      </c>
      <c r="D146" s="803"/>
      <c r="E146" s="818" t="s">
        <v>874</v>
      </c>
      <c r="F146" s="803"/>
      <c r="G146" s="817"/>
      <c r="H146" s="803"/>
      <c r="I146" s="803"/>
      <c r="J146" s="804" t="s">
        <v>149</v>
      </c>
      <c r="K146" s="769"/>
      <c r="L146" s="769">
        <f>ANALISA!$N$441</f>
        <v>8967.4</v>
      </c>
      <c r="M146" s="769">
        <f>K146*L146</f>
        <v>0</v>
      </c>
      <c r="N146" s="834"/>
      <c r="O146" s="1027"/>
    </row>
    <row r="147" spans="3:15" ht="15.75">
      <c r="C147" s="826">
        <v>2</v>
      </c>
      <c r="D147" s="803"/>
      <c r="E147" s="818" t="s">
        <v>131</v>
      </c>
      <c r="F147" s="803"/>
      <c r="G147" s="817"/>
      <c r="H147" s="803"/>
      <c r="I147" s="803"/>
      <c r="J147" s="804" t="s">
        <v>149</v>
      </c>
      <c r="K147" s="769">
        <v>104.39999999999999</v>
      </c>
      <c r="L147" s="769">
        <f>ANALISA!$N$460</f>
        <v>7617.4</v>
      </c>
      <c r="M147" s="769">
        <f>K147*L147</f>
        <v>795256.5599999999</v>
      </c>
      <c r="N147" s="834"/>
      <c r="O147" s="1027"/>
    </row>
    <row r="148" spans="3:15" ht="15.75">
      <c r="C148" s="826">
        <f>C147+1</f>
        <v>3</v>
      </c>
      <c r="D148" s="803"/>
      <c r="E148" s="818" t="s">
        <v>1079</v>
      </c>
      <c r="F148" s="803"/>
      <c r="G148" s="803"/>
      <c r="H148" s="803"/>
      <c r="I148" s="803"/>
      <c r="J148" s="804" t="s">
        <v>149</v>
      </c>
      <c r="K148" s="769">
        <v>12.155999999999999</v>
      </c>
      <c r="L148" s="769">
        <v>45000</v>
      </c>
      <c r="M148" s="769">
        <f>K148*L148</f>
        <v>547020</v>
      </c>
      <c r="N148" s="834"/>
      <c r="O148" s="1027"/>
    </row>
    <row r="149" spans="3:15" ht="15.75">
      <c r="C149" s="819"/>
      <c r="D149" s="820"/>
      <c r="E149" s="821"/>
      <c r="F149" s="820"/>
      <c r="G149" s="821"/>
      <c r="H149" s="821"/>
      <c r="I149" s="820"/>
      <c r="J149" s="822"/>
      <c r="K149" s="775"/>
      <c r="L149" s="775"/>
      <c r="M149" s="775"/>
      <c r="N149" s="835"/>
      <c r="O149" s="1027"/>
    </row>
    <row r="150" spans="3:15" ht="15.75">
      <c r="C150" s="836"/>
      <c r="D150" s="810"/>
      <c r="E150" s="824"/>
      <c r="F150" s="810"/>
      <c r="G150" s="824"/>
      <c r="H150" s="824"/>
      <c r="I150" s="810"/>
      <c r="J150" s="811"/>
      <c r="K150" s="812"/>
      <c r="L150" s="812"/>
      <c r="M150" s="812"/>
      <c r="N150" s="813"/>
      <c r="O150" s="1027"/>
    </row>
    <row r="151" spans="3:15" ht="15.75">
      <c r="C151" s="983" t="s">
        <v>344</v>
      </c>
      <c r="D151" s="784"/>
      <c r="E151" s="785" t="s">
        <v>305</v>
      </c>
      <c r="F151" s="784"/>
      <c r="G151" s="784"/>
      <c r="H151" s="784"/>
      <c r="I151" s="784"/>
      <c r="J151" s="786"/>
      <c r="K151" s="833"/>
      <c r="L151" s="833"/>
      <c r="M151" s="833"/>
      <c r="N151" s="833">
        <f>SUM(M152:M164)</f>
        <v>13971910.972</v>
      </c>
      <c r="O151" s="1029"/>
    </row>
    <row r="152" spans="3:15" ht="15.75" hidden="1">
      <c r="C152" s="758">
        <f>C151+1</f>
        <v>1</v>
      </c>
      <c r="D152" s="784"/>
      <c r="E152" s="818" t="s">
        <v>721</v>
      </c>
      <c r="F152" s="784"/>
      <c r="G152" s="784"/>
      <c r="H152" s="784"/>
      <c r="I152" s="784"/>
      <c r="J152" s="827" t="s">
        <v>161</v>
      </c>
      <c r="K152" s="834"/>
      <c r="L152" s="834">
        <f>ANALISA!N584</f>
        <v>12950095.3</v>
      </c>
      <c r="M152" s="769">
        <f aca="true" t="shared" si="11" ref="M152:M163">K152*L152</f>
        <v>0</v>
      </c>
      <c r="N152" s="833"/>
      <c r="O152" s="1029"/>
    </row>
    <row r="153" spans="3:15" ht="15.75" hidden="1">
      <c r="C153" s="758">
        <f>C152+1</f>
        <v>2</v>
      </c>
      <c r="D153" s="784"/>
      <c r="E153" s="818" t="s">
        <v>1118</v>
      </c>
      <c r="F153" s="784"/>
      <c r="G153" s="784"/>
      <c r="H153" s="784"/>
      <c r="I153" s="784"/>
      <c r="J153" s="827" t="s">
        <v>161</v>
      </c>
      <c r="K153" s="834"/>
      <c r="L153" s="834">
        <f>ANALISA!N605</f>
        <v>105616266.75226668</v>
      </c>
      <c r="M153" s="769">
        <f t="shared" si="11"/>
        <v>0</v>
      </c>
      <c r="N153" s="833"/>
      <c r="O153" s="1029"/>
    </row>
    <row r="154" spans="3:15" ht="15.75" hidden="1">
      <c r="C154" s="758">
        <v>1</v>
      </c>
      <c r="D154" s="784"/>
      <c r="E154" s="818" t="s">
        <v>802</v>
      </c>
      <c r="F154" s="784"/>
      <c r="G154" s="784"/>
      <c r="H154" s="784"/>
      <c r="I154" s="784"/>
      <c r="J154" s="827" t="s">
        <v>161</v>
      </c>
      <c r="K154" s="834"/>
      <c r="L154" s="834">
        <f>ANALISA!N562</f>
        <v>1450052.01</v>
      </c>
      <c r="M154" s="769">
        <f t="shared" si="11"/>
        <v>0</v>
      </c>
      <c r="N154" s="833"/>
      <c r="O154" s="1029"/>
    </row>
    <row r="155" spans="3:15" ht="15.75" hidden="1">
      <c r="C155" s="758">
        <f>C154+1</f>
        <v>2</v>
      </c>
      <c r="D155" s="784"/>
      <c r="E155" s="818" t="s">
        <v>803</v>
      </c>
      <c r="F155" s="784"/>
      <c r="G155" s="784"/>
      <c r="H155" s="784"/>
      <c r="I155" s="784"/>
      <c r="J155" s="827" t="s">
        <v>161</v>
      </c>
      <c r="K155" s="834"/>
      <c r="L155" s="834">
        <v>1650000</v>
      </c>
      <c r="M155" s="769">
        <f t="shared" si="11"/>
        <v>0</v>
      </c>
      <c r="N155" s="833"/>
      <c r="O155" s="1029"/>
    </row>
    <row r="156" spans="3:15" ht="15.75" hidden="1">
      <c r="C156" s="758">
        <v>2</v>
      </c>
      <c r="D156" s="784"/>
      <c r="E156" s="818" t="s">
        <v>1224</v>
      </c>
      <c r="F156" s="784"/>
      <c r="G156" s="784"/>
      <c r="H156" s="784"/>
      <c r="I156" s="784"/>
      <c r="J156" s="827" t="s">
        <v>161</v>
      </c>
      <c r="K156" s="834"/>
      <c r="L156" s="834">
        <v>3000000</v>
      </c>
      <c r="M156" s="769">
        <f>K156*L156</f>
        <v>0</v>
      </c>
      <c r="N156" s="833"/>
      <c r="O156" s="1029"/>
    </row>
    <row r="157" spans="3:15" ht="15.75">
      <c r="C157" s="758">
        <v>1</v>
      </c>
      <c r="D157" s="784"/>
      <c r="E157" s="818" t="s">
        <v>1241</v>
      </c>
      <c r="F157" s="784"/>
      <c r="G157" s="784"/>
      <c r="H157" s="803" t="s">
        <v>799</v>
      </c>
      <c r="I157" s="784"/>
      <c r="J157" s="827" t="s">
        <v>149</v>
      </c>
      <c r="K157" s="834">
        <v>2.7</v>
      </c>
      <c r="L157" s="834">
        <f>+L55</f>
        <v>2559400.61</v>
      </c>
      <c r="M157" s="769">
        <f>K157*L157</f>
        <v>6910381.647</v>
      </c>
      <c r="N157" s="833"/>
      <c r="O157" s="1029"/>
    </row>
    <row r="158" spans="3:15" ht="15.75" hidden="1">
      <c r="C158" s="758">
        <f>C155+1</f>
        <v>3</v>
      </c>
      <c r="D158" s="784"/>
      <c r="E158" s="818" t="s">
        <v>700</v>
      </c>
      <c r="F158" s="784"/>
      <c r="G158" s="784"/>
      <c r="H158" s="784"/>
      <c r="I158" s="784"/>
      <c r="J158" s="827" t="s">
        <v>161</v>
      </c>
      <c r="K158" s="834"/>
      <c r="L158" s="768">
        <v>15000000</v>
      </c>
      <c r="M158" s="769">
        <f t="shared" si="11"/>
        <v>0</v>
      </c>
      <c r="N158" s="833"/>
      <c r="O158" s="1029"/>
    </row>
    <row r="159" spans="3:15" ht="15.75">
      <c r="C159" s="758">
        <v>2</v>
      </c>
      <c r="D159" s="784"/>
      <c r="E159" s="818" t="s">
        <v>1242</v>
      </c>
      <c r="F159" s="784"/>
      <c r="G159" s="784"/>
      <c r="H159" s="784"/>
      <c r="I159" s="784"/>
      <c r="J159" s="827" t="s">
        <v>161</v>
      </c>
      <c r="K159" s="834">
        <v>1</v>
      </c>
      <c r="L159" s="768">
        <v>1800000</v>
      </c>
      <c r="M159" s="769">
        <f t="shared" si="11"/>
        <v>1800000</v>
      </c>
      <c r="N159" s="833"/>
      <c r="O159" s="1029"/>
    </row>
    <row r="160" spans="3:15" ht="15.75" hidden="1">
      <c r="C160" s="758">
        <v>5</v>
      </c>
      <c r="D160" s="784"/>
      <c r="E160" s="818" t="s">
        <v>1243</v>
      </c>
      <c r="F160" s="784"/>
      <c r="G160" s="784"/>
      <c r="H160" s="784"/>
      <c r="I160" s="784"/>
      <c r="J160" s="827" t="s">
        <v>161</v>
      </c>
      <c r="K160" s="834"/>
      <c r="L160" s="768">
        <f>+ANALISA!N571-ANALISA!M578-ANALISA!M582</f>
        <v>4961529.325</v>
      </c>
      <c r="M160" s="769">
        <f t="shared" si="11"/>
        <v>0</v>
      </c>
      <c r="N160" s="833"/>
      <c r="O160" s="1029"/>
    </row>
    <row r="161" spans="3:15" ht="15.75" hidden="1">
      <c r="C161" s="758">
        <v>6</v>
      </c>
      <c r="D161" s="784"/>
      <c r="E161" s="818" t="s">
        <v>1260</v>
      </c>
      <c r="F161" s="784"/>
      <c r="G161" s="784"/>
      <c r="H161" s="784"/>
      <c r="I161" s="784"/>
      <c r="J161" s="827" t="s">
        <v>161</v>
      </c>
      <c r="K161" s="834"/>
      <c r="L161" s="768">
        <v>3000000</v>
      </c>
      <c r="M161" s="769">
        <f t="shared" si="11"/>
        <v>0</v>
      </c>
      <c r="N161" s="833"/>
      <c r="O161" s="1029"/>
    </row>
    <row r="162" spans="3:15" ht="15.75" hidden="1">
      <c r="C162" s="758">
        <f>C158+1</f>
        <v>4</v>
      </c>
      <c r="D162" s="784"/>
      <c r="E162" s="818" t="s">
        <v>1119</v>
      </c>
      <c r="F162" s="803"/>
      <c r="G162" s="803"/>
      <c r="H162" s="803"/>
      <c r="I162" s="803"/>
      <c r="J162" s="827" t="s">
        <v>161</v>
      </c>
      <c r="K162" s="834"/>
      <c r="L162" s="834">
        <f>ANALISA!$N$529</f>
        <v>23403726.9</v>
      </c>
      <c r="M162" s="769">
        <f t="shared" si="11"/>
        <v>0</v>
      </c>
      <c r="N162" s="834"/>
      <c r="O162" s="1027"/>
    </row>
    <row r="163" spans="3:15" ht="15.75">
      <c r="C163" s="758">
        <v>3</v>
      </c>
      <c r="D163" s="784"/>
      <c r="E163" s="818" t="s">
        <v>1068</v>
      </c>
      <c r="F163" s="803"/>
      <c r="G163" s="803"/>
      <c r="H163" s="803"/>
      <c r="I163" s="803"/>
      <c r="J163" s="827" t="s">
        <v>161</v>
      </c>
      <c r="K163" s="834">
        <v>1</v>
      </c>
      <c r="L163" s="834">
        <f>ANALISA!N571</f>
        <v>5261529.325</v>
      </c>
      <c r="M163" s="769">
        <f t="shared" si="11"/>
        <v>5261529.325</v>
      </c>
      <c r="N163" s="834"/>
      <c r="O163" s="1027"/>
    </row>
    <row r="164" spans="3:15" ht="15.75">
      <c r="C164" s="777"/>
      <c r="D164" s="778"/>
      <c r="E164" s="772"/>
      <c r="F164" s="771"/>
      <c r="G164" s="771"/>
      <c r="H164" s="771"/>
      <c r="I164" s="771"/>
      <c r="J164" s="777"/>
      <c r="K164" s="776"/>
      <c r="L164" s="776"/>
      <c r="M164" s="776"/>
      <c r="N164" s="776"/>
      <c r="O164" s="1050"/>
    </row>
    <row r="165" spans="3:15" ht="15.75" hidden="1">
      <c r="C165" s="984" t="s">
        <v>584</v>
      </c>
      <c r="D165" s="761"/>
      <c r="E165" s="866" t="s">
        <v>1189</v>
      </c>
      <c r="F165" s="760"/>
      <c r="G165" s="817"/>
      <c r="H165" s="817"/>
      <c r="I165" s="817"/>
      <c r="J165" s="815"/>
      <c r="K165" s="768"/>
      <c r="L165" s="769"/>
      <c r="M165" s="768"/>
      <c r="N165" s="765">
        <f>SUM(M166:M167)</f>
        <v>0</v>
      </c>
      <c r="O165" s="814"/>
    </row>
    <row r="166" spans="3:15" ht="15.75" hidden="1">
      <c r="C166" s="758">
        <v>1</v>
      </c>
      <c r="D166" s="761"/>
      <c r="E166" s="760" t="s">
        <v>1156</v>
      </c>
      <c r="F166" s="760"/>
      <c r="G166" s="817"/>
      <c r="H166" s="817"/>
      <c r="I166" s="817"/>
      <c r="J166" s="815" t="s">
        <v>149</v>
      </c>
      <c r="K166" s="768"/>
      <c r="L166" s="767">
        <v>450000</v>
      </c>
      <c r="M166" s="768">
        <f>L166*K166</f>
        <v>0</v>
      </c>
      <c r="N166" s="765"/>
      <c r="O166" s="814"/>
    </row>
    <row r="167" spans="3:15" ht="15.75" hidden="1">
      <c r="C167" s="758">
        <f>C166+1</f>
        <v>2</v>
      </c>
      <c r="D167" s="761"/>
      <c r="E167" s="760" t="s">
        <v>192</v>
      </c>
      <c r="F167" s="760"/>
      <c r="G167" s="817"/>
      <c r="H167" s="817"/>
      <c r="I167" s="817"/>
      <c r="J167" s="815" t="s">
        <v>149</v>
      </c>
      <c r="K167" s="768"/>
      <c r="L167" s="767">
        <f>ANALISA!$N$450</f>
        <v>28755</v>
      </c>
      <c r="M167" s="768">
        <f>L167*K167*0</f>
        <v>0</v>
      </c>
      <c r="N167" s="841"/>
      <c r="O167" s="854"/>
    </row>
    <row r="168" spans="3:15" ht="15.75" hidden="1">
      <c r="C168" s="795"/>
      <c r="D168" s="797"/>
      <c r="E168" s="796"/>
      <c r="F168" s="797"/>
      <c r="G168" s="797"/>
      <c r="H168" s="797"/>
      <c r="I168" s="797"/>
      <c r="J168" s="800"/>
      <c r="K168" s="801"/>
      <c r="L168" s="801"/>
      <c r="M168" s="801"/>
      <c r="N168" s="838"/>
      <c r="O168" s="788"/>
    </row>
    <row r="169" spans="3:15" ht="15.75" hidden="1">
      <c r="C169" s="977" t="s">
        <v>497</v>
      </c>
      <c r="D169" s="978"/>
      <c r="E169" s="979" t="s">
        <v>614</v>
      </c>
      <c r="F169" s="980"/>
      <c r="G169" s="761"/>
      <c r="H169" s="761"/>
      <c r="I169" s="761"/>
      <c r="J169" s="766"/>
      <c r="K169" s="767"/>
      <c r="L169" s="767"/>
      <c r="M169" s="767"/>
      <c r="N169" s="765"/>
      <c r="O169" s="814"/>
    </row>
    <row r="170" spans="3:15" ht="15.75" hidden="1">
      <c r="C170" s="758">
        <v>1</v>
      </c>
      <c r="D170" s="761"/>
      <c r="E170" s="760" t="s">
        <v>1145</v>
      </c>
      <c r="F170" s="761"/>
      <c r="G170" s="761" t="s">
        <v>284</v>
      </c>
      <c r="H170" s="761"/>
      <c r="I170" s="761"/>
      <c r="J170" s="766" t="s">
        <v>134</v>
      </c>
      <c r="K170" s="767"/>
      <c r="L170" s="767">
        <f>ANALISA!$N$12</f>
        <v>13600</v>
      </c>
      <c r="M170" s="767">
        <f aca="true" t="shared" si="12" ref="M170:M210">K170*L170</f>
        <v>0</v>
      </c>
      <c r="N170" s="768"/>
      <c r="O170" s="788"/>
    </row>
    <row r="171" spans="3:15" ht="15.75" hidden="1">
      <c r="C171" s="758">
        <f aca="true" t="shared" si="13" ref="C171:C210">C170+1</f>
        <v>2</v>
      </c>
      <c r="D171" s="761"/>
      <c r="E171" s="760" t="s">
        <v>111</v>
      </c>
      <c r="F171" s="761"/>
      <c r="G171" s="761"/>
      <c r="H171" s="761"/>
      <c r="I171" s="761"/>
      <c r="J171" s="766" t="s">
        <v>134</v>
      </c>
      <c r="K171" s="767"/>
      <c r="L171" s="767">
        <f>ANALISA!$N$20</f>
        <v>6800</v>
      </c>
      <c r="M171" s="767">
        <f t="shared" si="12"/>
        <v>0</v>
      </c>
      <c r="N171" s="768"/>
      <c r="O171" s="788"/>
    </row>
    <row r="172" spans="3:15" ht="15.75" hidden="1">
      <c r="C172" s="758">
        <f t="shared" si="13"/>
        <v>3</v>
      </c>
      <c r="D172" s="761"/>
      <c r="E172" s="760" t="s">
        <v>113</v>
      </c>
      <c r="F172" s="761"/>
      <c r="G172" s="761"/>
      <c r="H172" s="761"/>
      <c r="I172" s="761"/>
      <c r="J172" s="766" t="s">
        <v>134</v>
      </c>
      <c r="K172" s="767"/>
      <c r="L172" s="767">
        <f>ANALISA!$N$27</f>
        <v>93400</v>
      </c>
      <c r="M172" s="767">
        <f t="shared" si="12"/>
        <v>0</v>
      </c>
      <c r="N172" s="768"/>
      <c r="O172" s="788"/>
    </row>
    <row r="173" spans="3:15" ht="15.75" hidden="1">
      <c r="C173" s="758">
        <f t="shared" si="13"/>
        <v>4</v>
      </c>
      <c r="D173" s="761"/>
      <c r="E173" s="760" t="s">
        <v>114</v>
      </c>
      <c r="F173" s="761"/>
      <c r="G173" s="761"/>
      <c r="H173" s="761"/>
      <c r="I173" s="761"/>
      <c r="J173" s="766" t="s">
        <v>134</v>
      </c>
      <c r="K173" s="767"/>
      <c r="L173" s="767">
        <f>ANALISA!$N$46</f>
        <v>201120</v>
      </c>
      <c r="M173" s="767">
        <f t="shared" si="12"/>
        <v>0</v>
      </c>
      <c r="N173" s="768"/>
      <c r="O173" s="788"/>
    </row>
    <row r="174" spans="3:15" ht="15.75" hidden="1">
      <c r="C174" s="758">
        <f t="shared" si="13"/>
        <v>5</v>
      </c>
      <c r="D174" s="761"/>
      <c r="E174" s="760" t="s">
        <v>129</v>
      </c>
      <c r="F174" s="761"/>
      <c r="G174" s="761"/>
      <c r="H174" s="761"/>
      <c r="I174" s="761"/>
      <c r="J174" s="766" t="s">
        <v>134</v>
      </c>
      <c r="K174" s="767"/>
      <c r="L174" s="767">
        <f>ANALISA!$N$37</f>
        <v>387900</v>
      </c>
      <c r="M174" s="767">
        <f t="shared" si="12"/>
        <v>0</v>
      </c>
      <c r="N174" s="768"/>
      <c r="O174" s="788"/>
    </row>
    <row r="175" spans="3:15" ht="15.75" hidden="1">
      <c r="C175" s="758">
        <f t="shared" si="13"/>
        <v>6</v>
      </c>
      <c r="D175" s="761"/>
      <c r="E175" s="760" t="s">
        <v>5</v>
      </c>
      <c r="F175" s="761"/>
      <c r="G175" s="761" t="s">
        <v>292</v>
      </c>
      <c r="H175" s="761"/>
      <c r="I175" s="761"/>
      <c r="J175" s="766" t="s">
        <v>149</v>
      </c>
      <c r="K175" s="767"/>
      <c r="L175" s="767">
        <f>ANALISA!$N$63</f>
        <v>49538</v>
      </c>
      <c r="M175" s="767">
        <f t="shared" si="12"/>
        <v>0</v>
      </c>
      <c r="N175" s="768"/>
      <c r="O175" s="788"/>
    </row>
    <row r="176" spans="3:15" ht="15.75" hidden="1">
      <c r="C176" s="758">
        <f t="shared" si="13"/>
        <v>7</v>
      </c>
      <c r="D176" s="761"/>
      <c r="E176" s="760" t="s">
        <v>115</v>
      </c>
      <c r="F176" s="761"/>
      <c r="G176" s="761" t="s">
        <v>292</v>
      </c>
      <c r="H176" s="761"/>
      <c r="I176" s="761"/>
      <c r="J176" s="766" t="s">
        <v>149</v>
      </c>
      <c r="K176" s="767"/>
      <c r="L176" s="767">
        <f>ANALISA!$N$54</f>
        <v>53610.75</v>
      </c>
      <c r="M176" s="767">
        <f t="shared" si="12"/>
        <v>0</v>
      </c>
      <c r="N176" s="768"/>
      <c r="O176" s="788"/>
    </row>
    <row r="177" spans="3:15" ht="15.75" hidden="1">
      <c r="C177" s="758">
        <f t="shared" si="13"/>
        <v>8</v>
      </c>
      <c r="D177" s="761"/>
      <c r="E177" s="760" t="s">
        <v>6</v>
      </c>
      <c r="F177" s="761"/>
      <c r="G177" s="761" t="s">
        <v>293</v>
      </c>
      <c r="H177" s="761"/>
      <c r="I177" s="761"/>
      <c r="J177" s="766" t="s">
        <v>149</v>
      </c>
      <c r="K177" s="767"/>
      <c r="L177" s="767">
        <f>ANALISA!$N$87</f>
        <v>18569.6</v>
      </c>
      <c r="M177" s="767">
        <f t="shared" si="12"/>
        <v>0</v>
      </c>
      <c r="N177" s="768"/>
      <c r="O177" s="788"/>
    </row>
    <row r="178" spans="3:15" ht="15.75" hidden="1">
      <c r="C178" s="758">
        <f t="shared" si="13"/>
        <v>9</v>
      </c>
      <c r="D178" s="761"/>
      <c r="E178" s="760" t="s">
        <v>117</v>
      </c>
      <c r="F178" s="761"/>
      <c r="G178" s="761" t="s">
        <v>293</v>
      </c>
      <c r="H178" s="761"/>
      <c r="I178" s="761"/>
      <c r="J178" s="766" t="s">
        <v>149</v>
      </c>
      <c r="K178" s="767"/>
      <c r="L178" s="767">
        <f>ANALISA!$N$71</f>
        <v>21258</v>
      </c>
      <c r="M178" s="767">
        <f t="shared" si="12"/>
        <v>0</v>
      </c>
      <c r="N178" s="768"/>
      <c r="O178" s="788"/>
    </row>
    <row r="179" spans="3:15" ht="15.75" hidden="1">
      <c r="C179" s="758">
        <f t="shared" si="13"/>
        <v>10</v>
      </c>
      <c r="D179" s="761"/>
      <c r="E179" s="760" t="s">
        <v>291</v>
      </c>
      <c r="F179" s="761"/>
      <c r="G179" s="761"/>
      <c r="H179" s="761"/>
      <c r="I179" s="761"/>
      <c r="J179" s="766" t="s">
        <v>139</v>
      </c>
      <c r="K179" s="767"/>
      <c r="L179" s="767">
        <f>ANALISA!$N$522</f>
        <v>86275.84</v>
      </c>
      <c r="M179" s="767">
        <f t="shared" si="12"/>
        <v>0</v>
      </c>
      <c r="N179" s="768"/>
      <c r="O179" s="788"/>
    </row>
    <row r="180" spans="3:15" ht="15.75" hidden="1">
      <c r="C180" s="758">
        <f t="shared" si="13"/>
        <v>11</v>
      </c>
      <c r="D180" s="761"/>
      <c r="E180" s="760" t="s">
        <v>218</v>
      </c>
      <c r="F180" s="761"/>
      <c r="G180" s="761" t="s">
        <v>294</v>
      </c>
      <c r="H180" s="761"/>
      <c r="I180" s="761"/>
      <c r="J180" s="766" t="s">
        <v>153</v>
      </c>
      <c r="K180" s="767"/>
      <c r="L180" s="767">
        <f>ANALISA!$N$515</f>
        <v>99171.53837499999</v>
      </c>
      <c r="M180" s="767">
        <f t="shared" si="12"/>
        <v>0</v>
      </c>
      <c r="N180" s="768"/>
      <c r="O180" s="788"/>
    </row>
    <row r="181" spans="3:15" ht="15.75" hidden="1">
      <c r="C181" s="758">
        <f t="shared" si="13"/>
        <v>12</v>
      </c>
      <c r="D181" s="761"/>
      <c r="E181" s="760" t="s">
        <v>286</v>
      </c>
      <c r="F181" s="761"/>
      <c r="G181" s="761"/>
      <c r="H181" s="761"/>
      <c r="I181" s="761"/>
      <c r="J181" s="766" t="s">
        <v>134</v>
      </c>
      <c r="K181" s="767"/>
      <c r="L181" s="767">
        <f>ANALISA!$N$631</f>
        <v>2727535.3333333335</v>
      </c>
      <c r="M181" s="767">
        <f t="shared" si="12"/>
        <v>0</v>
      </c>
      <c r="N181" s="768"/>
      <c r="O181" s="788"/>
    </row>
    <row r="182" spans="3:15" ht="15.75" hidden="1">
      <c r="C182" s="758">
        <f t="shared" si="13"/>
        <v>13</v>
      </c>
      <c r="D182" s="761"/>
      <c r="E182" s="760" t="s">
        <v>193</v>
      </c>
      <c r="F182" s="761"/>
      <c r="G182" s="761"/>
      <c r="H182" s="761"/>
      <c r="I182" s="761"/>
      <c r="J182" s="766" t="s">
        <v>134</v>
      </c>
      <c r="K182" s="767"/>
      <c r="L182" s="767">
        <f>ANALISA!$N$636</f>
        <v>2727535.3333333335</v>
      </c>
      <c r="M182" s="767">
        <f t="shared" si="12"/>
        <v>0</v>
      </c>
      <c r="N182" s="768"/>
      <c r="O182" s="788"/>
    </row>
    <row r="183" spans="3:15" ht="15.75" hidden="1">
      <c r="C183" s="758">
        <f t="shared" si="13"/>
        <v>14</v>
      </c>
      <c r="D183" s="761"/>
      <c r="E183" s="760" t="s">
        <v>29</v>
      </c>
      <c r="F183" s="761"/>
      <c r="G183" s="839"/>
      <c r="H183" s="805"/>
      <c r="I183" s="791"/>
      <c r="J183" s="766" t="s">
        <v>134</v>
      </c>
      <c r="K183" s="767"/>
      <c r="L183" s="767">
        <f>ANALISA!$N$626</f>
        <v>2727535.3333333335</v>
      </c>
      <c r="M183" s="767">
        <f t="shared" si="12"/>
        <v>0</v>
      </c>
      <c r="N183" s="768"/>
      <c r="O183" s="788"/>
    </row>
    <row r="184" spans="3:15" ht="15.75" hidden="1">
      <c r="C184" s="758">
        <f t="shared" si="13"/>
        <v>15</v>
      </c>
      <c r="D184" s="761"/>
      <c r="E184" s="760" t="s">
        <v>287</v>
      </c>
      <c r="F184" s="761"/>
      <c r="G184" s="806" t="s">
        <v>478</v>
      </c>
      <c r="H184" s="805"/>
      <c r="I184" s="791"/>
      <c r="J184" s="766" t="s">
        <v>134</v>
      </c>
      <c r="K184" s="767"/>
      <c r="L184" s="767">
        <f>ANALISA!$N$670</f>
        <v>2727535.3333333335</v>
      </c>
      <c r="M184" s="767">
        <f t="shared" si="12"/>
        <v>0</v>
      </c>
      <c r="N184" s="768"/>
      <c r="O184" s="788"/>
    </row>
    <row r="185" spans="3:15" ht="15.75" hidden="1">
      <c r="C185" s="758">
        <f t="shared" si="13"/>
        <v>16</v>
      </c>
      <c r="D185" s="761"/>
      <c r="E185" s="760" t="s">
        <v>647</v>
      </c>
      <c r="F185" s="761"/>
      <c r="G185" s="806"/>
      <c r="H185" s="805"/>
      <c r="I185" s="791"/>
      <c r="J185" s="766" t="s">
        <v>134</v>
      </c>
      <c r="K185" s="767"/>
      <c r="L185" s="767">
        <f>ANALISA!$N$675</f>
        <v>3456190.5</v>
      </c>
      <c r="M185" s="767">
        <f t="shared" si="12"/>
        <v>0</v>
      </c>
      <c r="N185" s="768"/>
      <c r="O185" s="788"/>
    </row>
    <row r="186" spans="3:15" ht="15.75" hidden="1">
      <c r="C186" s="758">
        <f t="shared" si="13"/>
        <v>17</v>
      </c>
      <c r="D186" s="761"/>
      <c r="E186" s="760" t="s">
        <v>1142</v>
      </c>
      <c r="F186" s="803"/>
      <c r="G186" s="817"/>
      <c r="H186" s="803" t="s">
        <v>1106</v>
      </c>
      <c r="I186" s="803"/>
      <c r="J186" s="804" t="s">
        <v>149</v>
      </c>
      <c r="K186" s="769"/>
      <c r="L186" s="769">
        <f>ANALISA!$N$226</f>
        <v>135758</v>
      </c>
      <c r="M186" s="767">
        <f t="shared" si="12"/>
        <v>0</v>
      </c>
      <c r="N186" s="768"/>
      <c r="O186" s="788"/>
    </row>
    <row r="187" spans="3:15" ht="15.75" hidden="1">
      <c r="C187" s="758">
        <f t="shared" si="13"/>
        <v>18</v>
      </c>
      <c r="D187" s="761"/>
      <c r="E187" s="760" t="s">
        <v>883</v>
      </c>
      <c r="F187" s="803"/>
      <c r="G187" s="817"/>
      <c r="H187" s="803" t="s">
        <v>829</v>
      </c>
      <c r="I187" s="803"/>
      <c r="J187" s="804" t="s">
        <v>149</v>
      </c>
      <c r="K187" s="769"/>
      <c r="L187" s="767">
        <f>ANALISA!$N$277</f>
        <v>95758</v>
      </c>
      <c r="M187" s="767">
        <f t="shared" si="12"/>
        <v>0</v>
      </c>
      <c r="N187" s="768"/>
      <c r="O187" s="788"/>
    </row>
    <row r="188" spans="3:15" ht="15.75" hidden="1">
      <c r="C188" s="758">
        <f t="shared" si="13"/>
        <v>19</v>
      </c>
      <c r="D188" s="761"/>
      <c r="E188" s="760" t="s">
        <v>882</v>
      </c>
      <c r="F188" s="803"/>
      <c r="G188" s="817"/>
      <c r="H188" s="803" t="s">
        <v>829</v>
      </c>
      <c r="I188" s="803"/>
      <c r="J188" s="804" t="s">
        <v>149</v>
      </c>
      <c r="K188" s="769"/>
      <c r="L188" s="769">
        <f>$L$97</f>
        <v>87758</v>
      </c>
      <c r="M188" s="767">
        <f t="shared" si="12"/>
        <v>0</v>
      </c>
      <c r="N188" s="768"/>
      <c r="O188" s="788"/>
    </row>
    <row r="189" spans="3:15" ht="15.75" hidden="1">
      <c r="C189" s="758">
        <f t="shared" si="13"/>
        <v>20</v>
      </c>
      <c r="D189" s="761"/>
      <c r="E189" s="818" t="s">
        <v>617</v>
      </c>
      <c r="F189" s="803"/>
      <c r="G189" s="803"/>
      <c r="H189" s="803"/>
      <c r="I189" s="803"/>
      <c r="J189" s="804" t="s">
        <v>149</v>
      </c>
      <c r="K189" s="769"/>
      <c r="L189" s="769">
        <f>ANALISA!$N$315</f>
        <v>182329</v>
      </c>
      <c r="M189" s="767">
        <f t="shared" si="12"/>
        <v>0</v>
      </c>
      <c r="N189" s="768"/>
      <c r="O189" s="788"/>
    </row>
    <row r="190" spans="3:15" ht="15.75" hidden="1">
      <c r="C190" s="758">
        <f t="shared" si="13"/>
        <v>21</v>
      </c>
      <c r="D190" s="761"/>
      <c r="E190" s="760" t="s">
        <v>113</v>
      </c>
      <c r="F190" s="759"/>
      <c r="G190" s="761" t="s">
        <v>296</v>
      </c>
      <c r="H190" s="759"/>
      <c r="I190" s="759"/>
      <c r="J190" s="815" t="s">
        <v>134</v>
      </c>
      <c r="K190" s="767"/>
      <c r="L190" s="767">
        <f>ANALISA!$N$27</f>
        <v>93400</v>
      </c>
      <c r="M190" s="767">
        <f t="shared" si="12"/>
        <v>0</v>
      </c>
      <c r="N190" s="768"/>
      <c r="O190" s="788"/>
    </row>
    <row r="191" spans="3:15" ht="15.75" hidden="1">
      <c r="C191" s="758">
        <f t="shared" si="13"/>
        <v>22</v>
      </c>
      <c r="D191" s="761"/>
      <c r="E191" s="760" t="s">
        <v>118</v>
      </c>
      <c r="F191" s="761"/>
      <c r="G191" s="760" t="s">
        <v>297</v>
      </c>
      <c r="H191" s="760"/>
      <c r="I191" s="761"/>
      <c r="J191" s="815" t="s">
        <v>134</v>
      </c>
      <c r="K191" s="816"/>
      <c r="L191" s="767">
        <f>ANALISA!$N$105</f>
        <v>467450</v>
      </c>
      <c r="M191" s="767">
        <f t="shared" si="12"/>
        <v>0</v>
      </c>
      <c r="N191" s="768"/>
      <c r="O191" s="788"/>
    </row>
    <row r="192" spans="3:15" ht="15.75" hidden="1">
      <c r="C192" s="758">
        <f t="shared" si="13"/>
        <v>23</v>
      </c>
      <c r="D192" s="761"/>
      <c r="E192" s="760" t="s">
        <v>308</v>
      </c>
      <c r="F192" s="784"/>
      <c r="G192" s="784"/>
      <c r="H192" s="784"/>
      <c r="I192" s="803"/>
      <c r="J192" s="827" t="s">
        <v>149</v>
      </c>
      <c r="K192" s="769"/>
      <c r="L192" s="767">
        <f>ANALISA!$N$408</f>
        <v>70760</v>
      </c>
      <c r="M192" s="769">
        <f t="shared" si="12"/>
        <v>0</v>
      </c>
      <c r="N192" s="768"/>
      <c r="O192" s="788"/>
    </row>
    <row r="193" spans="3:15" ht="15.75" hidden="1">
      <c r="C193" s="758">
        <f t="shared" si="13"/>
        <v>24</v>
      </c>
      <c r="D193" s="761"/>
      <c r="E193" s="818" t="s">
        <v>301</v>
      </c>
      <c r="F193" s="803"/>
      <c r="G193" s="803"/>
      <c r="H193" s="803"/>
      <c r="I193" s="803"/>
      <c r="J193" s="827" t="s">
        <v>153</v>
      </c>
      <c r="K193" s="769"/>
      <c r="L193" s="769">
        <f>L141</f>
        <v>15000</v>
      </c>
      <c r="M193" s="769">
        <f t="shared" si="12"/>
        <v>0</v>
      </c>
      <c r="N193" s="768"/>
      <c r="O193" s="788"/>
    </row>
    <row r="194" spans="3:15" ht="15.75" hidden="1">
      <c r="C194" s="758">
        <f t="shared" si="13"/>
        <v>25</v>
      </c>
      <c r="D194" s="761"/>
      <c r="E194" s="818" t="s">
        <v>1096</v>
      </c>
      <c r="F194" s="803"/>
      <c r="G194" s="803" t="s">
        <v>875</v>
      </c>
      <c r="H194" s="803"/>
      <c r="I194" s="803"/>
      <c r="J194" s="804" t="s">
        <v>149</v>
      </c>
      <c r="K194" s="769"/>
      <c r="L194" s="769">
        <f>ANALISA!$N$441</f>
        <v>8967.4</v>
      </c>
      <c r="M194" s="769">
        <f t="shared" si="12"/>
        <v>0</v>
      </c>
      <c r="N194" s="768"/>
      <c r="O194" s="788"/>
    </row>
    <row r="195" spans="3:15" ht="15.75" hidden="1">
      <c r="C195" s="758">
        <f t="shared" si="13"/>
        <v>26</v>
      </c>
      <c r="D195" s="761"/>
      <c r="E195" s="760" t="s">
        <v>131</v>
      </c>
      <c r="F195" s="803"/>
      <c r="G195" s="803" t="s">
        <v>875</v>
      </c>
      <c r="H195" s="803"/>
      <c r="I195" s="803"/>
      <c r="J195" s="804" t="s">
        <v>149</v>
      </c>
      <c r="K195" s="769"/>
      <c r="L195" s="769">
        <f>ANALISA!$N$460</f>
        <v>7617.4</v>
      </c>
      <c r="M195" s="769">
        <f t="shared" si="12"/>
        <v>0</v>
      </c>
      <c r="N195" s="768"/>
      <c r="O195" s="788"/>
    </row>
    <row r="196" spans="3:15" ht="15.75" hidden="1">
      <c r="C196" s="758">
        <f t="shared" si="13"/>
        <v>27</v>
      </c>
      <c r="D196" s="761"/>
      <c r="E196" s="760" t="s">
        <v>1137</v>
      </c>
      <c r="F196" s="803"/>
      <c r="G196" s="803"/>
      <c r="H196" s="803"/>
      <c r="I196" s="803"/>
      <c r="J196" s="955" t="s">
        <v>161</v>
      </c>
      <c r="K196" s="769"/>
      <c r="L196" s="769">
        <f>ANALISA!N934</f>
        <v>924750</v>
      </c>
      <c r="M196" s="769">
        <f t="shared" si="12"/>
        <v>0</v>
      </c>
      <c r="N196" s="768"/>
      <c r="O196" s="788"/>
    </row>
    <row r="197" spans="3:15" ht="15.75" hidden="1">
      <c r="C197" s="758">
        <f t="shared" si="13"/>
        <v>28</v>
      </c>
      <c r="D197" s="761"/>
      <c r="E197" s="760" t="s">
        <v>1138</v>
      </c>
      <c r="F197" s="803"/>
      <c r="G197" s="803"/>
      <c r="H197" s="803"/>
      <c r="I197" s="803"/>
      <c r="J197" s="955" t="s">
        <v>161</v>
      </c>
      <c r="K197" s="769"/>
      <c r="L197" s="769">
        <f>ANALISA!N942</f>
        <v>1464750</v>
      </c>
      <c r="M197" s="769">
        <f t="shared" si="12"/>
        <v>0</v>
      </c>
      <c r="N197" s="768"/>
      <c r="O197" s="788"/>
    </row>
    <row r="198" spans="3:15" ht="15.75" hidden="1">
      <c r="C198" s="758">
        <f t="shared" si="13"/>
        <v>29</v>
      </c>
      <c r="D198" s="761"/>
      <c r="E198" s="760" t="s">
        <v>1139</v>
      </c>
      <c r="F198" s="803"/>
      <c r="G198" s="803"/>
      <c r="H198" s="803"/>
      <c r="I198" s="803"/>
      <c r="J198" s="955" t="s">
        <v>161</v>
      </c>
      <c r="K198" s="769"/>
      <c r="L198" s="769">
        <f>ANALISA!N950</f>
        <v>997797.3612</v>
      </c>
      <c r="M198" s="769">
        <f t="shared" si="12"/>
        <v>0</v>
      </c>
      <c r="N198" s="768"/>
      <c r="O198" s="788"/>
    </row>
    <row r="199" spans="3:15" ht="15.75" hidden="1">
      <c r="C199" s="758">
        <f t="shared" si="13"/>
        <v>30</v>
      </c>
      <c r="D199" s="761"/>
      <c r="E199" s="760" t="s">
        <v>1140</v>
      </c>
      <c r="F199" s="803"/>
      <c r="G199" s="803"/>
      <c r="H199" s="803"/>
      <c r="I199" s="803"/>
      <c r="J199" s="955" t="s">
        <v>161</v>
      </c>
      <c r="K199" s="769"/>
      <c r="L199" s="769">
        <f>ANALISA!N955</f>
        <v>762958.8732</v>
      </c>
      <c r="M199" s="769">
        <f t="shared" si="12"/>
        <v>0</v>
      </c>
      <c r="N199" s="768"/>
      <c r="O199" s="788"/>
    </row>
    <row r="200" spans="3:15" ht="15.75" hidden="1">
      <c r="C200" s="770">
        <f t="shared" si="13"/>
        <v>31</v>
      </c>
      <c r="D200" s="771"/>
      <c r="E200" s="772" t="s">
        <v>632</v>
      </c>
      <c r="F200" s="771"/>
      <c r="G200" s="771"/>
      <c r="H200" s="771"/>
      <c r="I200" s="771"/>
      <c r="J200" s="773" t="s">
        <v>139</v>
      </c>
      <c r="K200" s="774"/>
      <c r="L200" s="775">
        <f>221125*1.1</f>
        <v>243237.50000000003</v>
      </c>
      <c r="M200" s="775">
        <f t="shared" si="12"/>
        <v>0</v>
      </c>
      <c r="N200" s="776"/>
      <c r="O200" s="788"/>
    </row>
    <row r="201" spans="3:15" ht="15.75" hidden="1">
      <c r="C201" s="795">
        <f t="shared" si="13"/>
        <v>32</v>
      </c>
      <c r="D201" s="797"/>
      <c r="E201" s="824" t="s">
        <v>550</v>
      </c>
      <c r="F201" s="810"/>
      <c r="G201" s="824"/>
      <c r="H201" s="824"/>
      <c r="I201" s="810"/>
      <c r="J201" s="811" t="s">
        <v>139</v>
      </c>
      <c r="K201" s="812"/>
      <c r="L201" s="812">
        <f>111650*1.1</f>
        <v>122815.00000000001</v>
      </c>
      <c r="M201" s="812">
        <f t="shared" si="12"/>
        <v>0</v>
      </c>
      <c r="N201" s="838"/>
      <c r="O201" s="788"/>
    </row>
    <row r="202" spans="3:15" ht="15.75" hidden="1">
      <c r="C202" s="758">
        <f t="shared" si="13"/>
        <v>33</v>
      </c>
      <c r="D202" s="761"/>
      <c r="E202" s="818" t="s">
        <v>1121</v>
      </c>
      <c r="F202" s="803"/>
      <c r="G202" s="818"/>
      <c r="H202" s="818"/>
      <c r="I202" s="803"/>
      <c r="J202" s="804" t="s">
        <v>139</v>
      </c>
      <c r="K202" s="769"/>
      <c r="L202" s="769">
        <f>40000*1.1</f>
        <v>44000</v>
      </c>
      <c r="M202" s="769">
        <f t="shared" si="12"/>
        <v>0</v>
      </c>
      <c r="N202" s="768"/>
      <c r="O202" s="788"/>
    </row>
    <row r="203" spans="3:15" ht="15.75" hidden="1">
      <c r="C203" s="758">
        <f t="shared" si="13"/>
        <v>34</v>
      </c>
      <c r="D203" s="784"/>
      <c r="E203" s="818" t="s">
        <v>1068</v>
      </c>
      <c r="F203" s="803"/>
      <c r="G203" s="803"/>
      <c r="H203" s="803"/>
      <c r="I203" s="803"/>
      <c r="J203" s="827" t="s">
        <v>161</v>
      </c>
      <c r="K203" s="834"/>
      <c r="L203" s="834">
        <f>+L163</f>
        <v>5261529.325</v>
      </c>
      <c r="M203" s="769">
        <f t="shared" si="12"/>
        <v>0</v>
      </c>
      <c r="N203" s="834"/>
      <c r="O203" s="1027"/>
    </row>
    <row r="204" spans="3:15" ht="15.75" hidden="1">
      <c r="C204" s="758">
        <f t="shared" si="13"/>
        <v>35</v>
      </c>
      <c r="D204" s="761"/>
      <c r="E204" s="760" t="s">
        <v>918</v>
      </c>
      <c r="F204" s="803"/>
      <c r="G204" s="818"/>
      <c r="H204" s="818"/>
      <c r="I204" s="803"/>
      <c r="J204" s="804" t="s">
        <v>149</v>
      </c>
      <c r="K204" s="769"/>
      <c r="L204" s="769">
        <f>ANALISA!$N$341</f>
        <v>68647.7</v>
      </c>
      <c r="M204" s="769">
        <f t="shared" si="12"/>
        <v>0</v>
      </c>
      <c r="N204" s="768"/>
      <c r="O204" s="788"/>
    </row>
    <row r="205" spans="3:15" ht="15.75" hidden="1">
      <c r="C205" s="758">
        <f t="shared" si="13"/>
        <v>36</v>
      </c>
      <c r="D205" s="761"/>
      <c r="E205" s="760" t="s">
        <v>917</v>
      </c>
      <c r="F205" s="803"/>
      <c r="G205" s="818"/>
      <c r="H205" s="818"/>
      <c r="I205" s="803"/>
      <c r="J205" s="804" t="s">
        <v>153</v>
      </c>
      <c r="K205" s="769"/>
      <c r="L205" s="769">
        <f>ANALISA!$L$350</f>
        <v>13500</v>
      </c>
      <c r="M205" s="769">
        <f t="shared" si="12"/>
        <v>0</v>
      </c>
      <c r="N205" s="768"/>
      <c r="O205" s="788"/>
    </row>
    <row r="206" spans="3:15" ht="15.75" hidden="1">
      <c r="C206" s="758">
        <f t="shared" si="13"/>
        <v>37</v>
      </c>
      <c r="D206" s="761"/>
      <c r="E206" s="760" t="s">
        <v>463</v>
      </c>
      <c r="F206" s="803"/>
      <c r="G206" s="818"/>
      <c r="H206" s="818"/>
      <c r="I206" s="803"/>
      <c r="J206" s="804" t="s">
        <v>153</v>
      </c>
      <c r="K206" s="769"/>
      <c r="L206" s="769">
        <f>ANALISA!$N$400</f>
        <v>45619.5</v>
      </c>
      <c r="M206" s="769">
        <f t="shared" si="12"/>
        <v>0</v>
      </c>
      <c r="N206" s="768"/>
      <c r="O206" s="788"/>
    </row>
    <row r="207" spans="3:15" ht="15.75" hidden="1">
      <c r="C207" s="758">
        <f t="shared" si="13"/>
        <v>38</v>
      </c>
      <c r="D207" s="761"/>
      <c r="E207" s="840" t="s">
        <v>481</v>
      </c>
      <c r="F207" s="803"/>
      <c r="G207" s="818"/>
      <c r="H207" s="818"/>
      <c r="I207" s="803"/>
      <c r="J207" s="804" t="s">
        <v>153</v>
      </c>
      <c r="K207" s="769"/>
      <c r="L207" s="769">
        <f>ANALISA!$N$382*0.25</f>
        <v>61679.75</v>
      </c>
      <c r="M207" s="769">
        <f t="shared" si="12"/>
        <v>0</v>
      </c>
      <c r="N207" s="768"/>
      <c r="O207" s="788"/>
    </row>
    <row r="208" spans="3:15" ht="15.75" hidden="1">
      <c r="C208" s="758">
        <f t="shared" si="13"/>
        <v>39</v>
      </c>
      <c r="D208" s="761"/>
      <c r="E208" s="817" t="s">
        <v>31</v>
      </c>
      <c r="F208" s="784"/>
      <c r="G208" s="784"/>
      <c r="H208" s="784"/>
      <c r="I208" s="784"/>
      <c r="J208" s="827" t="s">
        <v>149</v>
      </c>
      <c r="K208" s="769"/>
      <c r="L208" s="769">
        <f>$L$59</f>
        <v>175000</v>
      </c>
      <c r="M208" s="767">
        <f t="shared" si="12"/>
        <v>0</v>
      </c>
      <c r="N208" s="768"/>
      <c r="O208" s="788"/>
    </row>
    <row r="209" spans="3:15" ht="15.75" hidden="1">
      <c r="C209" s="758">
        <f t="shared" si="13"/>
        <v>40</v>
      </c>
      <c r="D209" s="761"/>
      <c r="E209" s="760" t="s">
        <v>542</v>
      </c>
      <c r="F209" s="761"/>
      <c r="G209" s="760"/>
      <c r="H209" s="760"/>
      <c r="I209" s="761"/>
      <c r="J209" s="827" t="s">
        <v>139</v>
      </c>
      <c r="K209" s="767"/>
      <c r="L209" s="767">
        <f>L59</f>
        <v>175000</v>
      </c>
      <c r="M209" s="767">
        <f t="shared" si="12"/>
        <v>0</v>
      </c>
      <c r="N209" s="768"/>
      <c r="O209" s="788"/>
    </row>
    <row r="210" spans="3:15" ht="15.75" hidden="1">
      <c r="C210" s="758">
        <f t="shared" si="13"/>
        <v>41</v>
      </c>
      <c r="D210" s="761"/>
      <c r="E210" s="760" t="s">
        <v>878</v>
      </c>
      <c r="F210" s="761"/>
      <c r="G210" s="760"/>
      <c r="H210" s="760"/>
      <c r="I210" s="761"/>
      <c r="J210" s="827" t="s">
        <v>149</v>
      </c>
      <c r="K210" s="767"/>
      <c r="L210" s="767">
        <f>ANALISA!L617</f>
        <v>400000</v>
      </c>
      <c r="M210" s="767">
        <f t="shared" si="12"/>
        <v>0</v>
      </c>
      <c r="N210" s="768"/>
      <c r="O210" s="788"/>
    </row>
    <row r="211" spans="3:15" ht="15.75" hidden="1">
      <c r="C211" s="770"/>
      <c r="D211" s="771"/>
      <c r="E211" s="772"/>
      <c r="F211" s="771"/>
      <c r="G211" s="771"/>
      <c r="H211" s="771"/>
      <c r="I211" s="771"/>
      <c r="J211" s="773"/>
      <c r="K211" s="774"/>
      <c r="L211" s="774"/>
      <c r="M211" s="774"/>
      <c r="N211" s="776"/>
      <c r="O211" s="788"/>
    </row>
    <row r="212" spans="3:15" ht="15.75" hidden="1">
      <c r="C212" s="891"/>
      <c r="D212" s="892"/>
      <c r="E212" s="893"/>
      <c r="F212" s="892"/>
      <c r="G212" s="892"/>
      <c r="H212" s="892"/>
      <c r="I212" s="892"/>
      <c r="J212" s="998" t="s">
        <v>1157</v>
      </c>
      <c r="K212" s="1002"/>
      <c r="L212" s="1001"/>
      <c r="M212" s="999"/>
      <c r="N212" s="894">
        <f>SUM(N169:N211)</f>
        <v>0</v>
      </c>
      <c r="O212" s="814"/>
    </row>
    <row r="213" spans="3:15" ht="15.75" hidden="1">
      <c r="C213" s="758"/>
      <c r="D213" s="761"/>
      <c r="E213" s="760"/>
      <c r="F213" s="761"/>
      <c r="G213" s="761"/>
      <c r="H213" s="761"/>
      <c r="I213" s="761"/>
      <c r="J213" s="766"/>
      <c r="K213" s="767"/>
      <c r="L213" s="767"/>
      <c r="M213" s="767"/>
      <c r="N213" s="768"/>
      <c r="O213" s="788"/>
    </row>
    <row r="214" spans="3:15" ht="15.75" hidden="1">
      <c r="C214" s="977" t="s">
        <v>500</v>
      </c>
      <c r="D214" s="980"/>
      <c r="E214" s="979" t="s">
        <v>876</v>
      </c>
      <c r="F214" s="761"/>
      <c r="G214" s="761"/>
      <c r="H214" s="761"/>
      <c r="I214" s="761"/>
      <c r="J214" s="766"/>
      <c r="K214" s="767"/>
      <c r="L214" s="767"/>
      <c r="M214" s="767"/>
      <c r="N214" s="765"/>
      <c r="O214" s="814"/>
    </row>
    <row r="215" spans="3:15" ht="15.75" hidden="1">
      <c r="C215" s="758">
        <v>1</v>
      </c>
      <c r="D215" s="761"/>
      <c r="E215" s="760" t="s">
        <v>1145</v>
      </c>
      <c r="F215" s="761"/>
      <c r="G215" s="761" t="s">
        <v>284</v>
      </c>
      <c r="H215" s="761"/>
      <c r="I215" s="761"/>
      <c r="J215" s="766" t="s">
        <v>134</v>
      </c>
      <c r="K215" s="767"/>
      <c r="L215" s="767">
        <f>ANALISA!$N$12</f>
        <v>13600</v>
      </c>
      <c r="M215" s="767">
        <f aca="true" t="shared" si="14" ref="M215:M244">K215*L215</f>
        <v>0</v>
      </c>
      <c r="N215" s="768"/>
      <c r="O215" s="788"/>
    </row>
    <row r="216" spans="3:15" ht="15.75" hidden="1">
      <c r="C216" s="758">
        <f aca="true" t="shared" si="15" ref="C216:C244">C215+1</f>
        <v>2</v>
      </c>
      <c r="D216" s="761"/>
      <c r="E216" s="760" t="s">
        <v>111</v>
      </c>
      <c r="F216" s="761"/>
      <c r="G216" s="761"/>
      <c r="H216" s="761"/>
      <c r="I216" s="761"/>
      <c r="J216" s="766" t="s">
        <v>134</v>
      </c>
      <c r="K216" s="767"/>
      <c r="L216" s="767">
        <f>ANALISA!$N$20</f>
        <v>6800</v>
      </c>
      <c r="M216" s="767">
        <f t="shared" si="14"/>
        <v>0</v>
      </c>
      <c r="N216" s="768"/>
      <c r="O216" s="788"/>
    </row>
    <row r="217" spans="3:15" ht="15.75" hidden="1">
      <c r="C217" s="758">
        <f t="shared" si="15"/>
        <v>3</v>
      </c>
      <c r="D217" s="761"/>
      <c r="E217" s="760" t="s">
        <v>113</v>
      </c>
      <c r="F217" s="761"/>
      <c r="G217" s="761"/>
      <c r="H217" s="761"/>
      <c r="I217" s="761"/>
      <c r="J217" s="766" t="s">
        <v>134</v>
      </c>
      <c r="K217" s="767"/>
      <c r="L217" s="767">
        <f>ANALISA!$N$27</f>
        <v>93400</v>
      </c>
      <c r="M217" s="767">
        <f t="shared" si="14"/>
        <v>0</v>
      </c>
      <c r="N217" s="768"/>
      <c r="O217" s="788"/>
    </row>
    <row r="218" spans="3:15" ht="15.75" hidden="1">
      <c r="C218" s="758">
        <f t="shared" si="15"/>
        <v>4</v>
      </c>
      <c r="D218" s="761"/>
      <c r="E218" s="760" t="s">
        <v>114</v>
      </c>
      <c r="F218" s="761"/>
      <c r="G218" s="761"/>
      <c r="H218" s="761"/>
      <c r="I218" s="761"/>
      <c r="J218" s="766" t="s">
        <v>134</v>
      </c>
      <c r="K218" s="767"/>
      <c r="L218" s="767">
        <f>ANALISA!$N$46</f>
        <v>201120</v>
      </c>
      <c r="M218" s="767">
        <f t="shared" si="14"/>
        <v>0</v>
      </c>
      <c r="N218" s="768"/>
      <c r="O218" s="788"/>
    </row>
    <row r="219" spans="3:15" ht="15.75" hidden="1">
      <c r="C219" s="758">
        <f t="shared" si="15"/>
        <v>5</v>
      </c>
      <c r="D219" s="761"/>
      <c r="E219" s="760" t="s">
        <v>129</v>
      </c>
      <c r="F219" s="761"/>
      <c r="G219" s="761"/>
      <c r="H219" s="761"/>
      <c r="I219" s="761"/>
      <c r="J219" s="766" t="s">
        <v>134</v>
      </c>
      <c r="K219" s="767"/>
      <c r="L219" s="767">
        <f>ANALISA!$N$37</f>
        <v>387900</v>
      </c>
      <c r="M219" s="767">
        <f t="shared" si="14"/>
        <v>0</v>
      </c>
      <c r="N219" s="768"/>
      <c r="O219" s="788"/>
    </row>
    <row r="220" spans="3:15" ht="15.75" hidden="1">
      <c r="C220" s="758">
        <f t="shared" si="15"/>
        <v>6</v>
      </c>
      <c r="D220" s="761"/>
      <c r="E220" s="760" t="s">
        <v>5</v>
      </c>
      <c r="F220" s="761"/>
      <c r="G220" s="761" t="s">
        <v>292</v>
      </c>
      <c r="H220" s="761"/>
      <c r="I220" s="761"/>
      <c r="J220" s="766" t="s">
        <v>149</v>
      </c>
      <c r="K220" s="767"/>
      <c r="L220" s="767">
        <f>ANALISA!$N$63</f>
        <v>49538</v>
      </c>
      <c r="M220" s="767">
        <f t="shared" si="14"/>
        <v>0</v>
      </c>
      <c r="N220" s="768"/>
      <c r="O220" s="788"/>
    </row>
    <row r="221" spans="3:15" ht="15.75" hidden="1">
      <c r="C221" s="758">
        <f t="shared" si="15"/>
        <v>7</v>
      </c>
      <c r="D221" s="761"/>
      <c r="E221" s="760" t="s">
        <v>115</v>
      </c>
      <c r="F221" s="761"/>
      <c r="G221" s="761" t="s">
        <v>292</v>
      </c>
      <c r="H221" s="761"/>
      <c r="I221" s="761"/>
      <c r="J221" s="766" t="s">
        <v>149</v>
      </c>
      <c r="K221" s="767"/>
      <c r="L221" s="767">
        <f>ANALISA!$N$54</f>
        <v>53610.75</v>
      </c>
      <c r="M221" s="767">
        <f t="shared" si="14"/>
        <v>0</v>
      </c>
      <c r="N221" s="768"/>
      <c r="O221" s="788"/>
    </row>
    <row r="222" spans="3:15" ht="15.75" hidden="1">
      <c r="C222" s="758">
        <f t="shared" si="15"/>
        <v>8</v>
      </c>
      <c r="D222" s="761"/>
      <c r="E222" s="760" t="s">
        <v>6</v>
      </c>
      <c r="F222" s="761"/>
      <c r="G222" s="761" t="s">
        <v>293</v>
      </c>
      <c r="H222" s="761"/>
      <c r="I222" s="761"/>
      <c r="J222" s="766" t="s">
        <v>149</v>
      </c>
      <c r="K222" s="767"/>
      <c r="L222" s="767">
        <f>ANALISA!$N$87</f>
        <v>18569.6</v>
      </c>
      <c r="M222" s="767">
        <f t="shared" si="14"/>
        <v>0</v>
      </c>
      <c r="N222" s="768"/>
      <c r="O222" s="788"/>
    </row>
    <row r="223" spans="3:15" ht="15.75" hidden="1">
      <c r="C223" s="758">
        <f t="shared" si="15"/>
        <v>9</v>
      </c>
      <c r="D223" s="761"/>
      <c r="E223" s="760" t="s">
        <v>117</v>
      </c>
      <c r="F223" s="761"/>
      <c r="G223" s="761" t="s">
        <v>293</v>
      </c>
      <c r="H223" s="761"/>
      <c r="I223" s="761"/>
      <c r="J223" s="766" t="s">
        <v>149</v>
      </c>
      <c r="K223" s="767"/>
      <c r="L223" s="767">
        <f>ANALISA!$N$71</f>
        <v>21258</v>
      </c>
      <c r="M223" s="767">
        <f t="shared" si="14"/>
        <v>0</v>
      </c>
      <c r="N223" s="768"/>
      <c r="O223" s="788"/>
    </row>
    <row r="224" spans="3:15" ht="15.75" hidden="1">
      <c r="C224" s="758">
        <f t="shared" si="15"/>
        <v>10</v>
      </c>
      <c r="D224" s="761"/>
      <c r="E224" s="760" t="s">
        <v>291</v>
      </c>
      <c r="F224" s="761"/>
      <c r="G224" s="761"/>
      <c r="H224" s="761"/>
      <c r="I224" s="761"/>
      <c r="J224" s="766" t="s">
        <v>139</v>
      </c>
      <c r="K224" s="767"/>
      <c r="L224" s="767">
        <f>ANALISA!$N$522</f>
        <v>86275.84</v>
      </c>
      <c r="M224" s="767">
        <f t="shared" si="14"/>
        <v>0</v>
      </c>
      <c r="N224" s="768"/>
      <c r="O224" s="788"/>
    </row>
    <row r="225" spans="3:15" ht="15.75" hidden="1">
      <c r="C225" s="758">
        <f t="shared" si="15"/>
        <v>11</v>
      </c>
      <c r="D225" s="761"/>
      <c r="E225" s="760" t="s">
        <v>218</v>
      </c>
      <c r="F225" s="761"/>
      <c r="G225" s="761" t="s">
        <v>294</v>
      </c>
      <c r="H225" s="761"/>
      <c r="I225" s="761"/>
      <c r="J225" s="766" t="s">
        <v>153</v>
      </c>
      <c r="K225" s="767"/>
      <c r="L225" s="767">
        <f>ANALISA!$N$515</f>
        <v>99171.53837499999</v>
      </c>
      <c r="M225" s="767">
        <f t="shared" si="14"/>
        <v>0</v>
      </c>
      <c r="N225" s="768"/>
      <c r="O225" s="788"/>
    </row>
    <row r="226" spans="3:15" ht="15.75" hidden="1">
      <c r="C226" s="758">
        <f t="shared" si="15"/>
        <v>12</v>
      </c>
      <c r="D226" s="761"/>
      <c r="E226" s="760" t="s">
        <v>286</v>
      </c>
      <c r="F226" s="761"/>
      <c r="G226" s="761"/>
      <c r="H226" s="761"/>
      <c r="I226" s="761"/>
      <c r="J226" s="766" t="s">
        <v>134</v>
      </c>
      <c r="K226" s="767"/>
      <c r="L226" s="767">
        <f>ANALISA!$N$631</f>
        <v>2727535.3333333335</v>
      </c>
      <c r="M226" s="767">
        <f t="shared" si="14"/>
        <v>0</v>
      </c>
      <c r="N226" s="768"/>
      <c r="O226" s="788"/>
    </row>
    <row r="227" spans="3:15" ht="15.75" hidden="1">
      <c r="C227" s="758">
        <f t="shared" si="15"/>
        <v>13</v>
      </c>
      <c r="D227" s="761"/>
      <c r="E227" s="760" t="s">
        <v>193</v>
      </c>
      <c r="F227" s="761"/>
      <c r="G227" s="761"/>
      <c r="H227" s="761"/>
      <c r="I227" s="761"/>
      <c r="J227" s="766" t="s">
        <v>134</v>
      </c>
      <c r="K227" s="767"/>
      <c r="L227" s="767">
        <f>ANALISA!$N$636</f>
        <v>2727535.3333333335</v>
      </c>
      <c r="M227" s="767">
        <f t="shared" si="14"/>
        <v>0</v>
      </c>
      <c r="N227" s="768"/>
      <c r="O227" s="788"/>
    </row>
    <row r="228" spans="3:15" ht="15.75" hidden="1">
      <c r="C228" s="758">
        <f t="shared" si="15"/>
        <v>14</v>
      </c>
      <c r="D228" s="761"/>
      <c r="E228" s="760" t="s">
        <v>29</v>
      </c>
      <c r="F228" s="761"/>
      <c r="G228" s="839"/>
      <c r="H228" s="805"/>
      <c r="I228" s="791"/>
      <c r="J228" s="766" t="s">
        <v>134</v>
      </c>
      <c r="K228" s="767"/>
      <c r="L228" s="767">
        <f>ANALISA!$N$626</f>
        <v>2727535.3333333335</v>
      </c>
      <c r="M228" s="767">
        <f t="shared" si="14"/>
        <v>0</v>
      </c>
      <c r="N228" s="768"/>
      <c r="O228" s="788"/>
    </row>
    <row r="229" spans="3:15" ht="15.75" hidden="1">
      <c r="C229" s="758">
        <f t="shared" si="15"/>
        <v>15</v>
      </c>
      <c r="D229" s="761"/>
      <c r="E229" s="760" t="s">
        <v>287</v>
      </c>
      <c r="F229" s="761"/>
      <c r="G229" s="806" t="s">
        <v>478</v>
      </c>
      <c r="H229" s="805"/>
      <c r="I229" s="791"/>
      <c r="J229" s="766" t="s">
        <v>134</v>
      </c>
      <c r="K229" s="767"/>
      <c r="L229" s="767">
        <f>ANALISA!$N$670</f>
        <v>2727535.3333333335</v>
      </c>
      <c r="M229" s="767">
        <f t="shared" si="14"/>
        <v>0</v>
      </c>
      <c r="N229" s="768"/>
      <c r="O229" s="788"/>
    </row>
    <row r="230" spans="3:15" ht="15.75" hidden="1">
      <c r="C230" s="758">
        <f t="shared" si="15"/>
        <v>16</v>
      </c>
      <c r="D230" s="761"/>
      <c r="E230" s="760" t="s">
        <v>1107</v>
      </c>
      <c r="F230" s="803"/>
      <c r="G230" s="803" t="s">
        <v>1108</v>
      </c>
      <c r="H230" s="803"/>
      <c r="I230" s="803"/>
      <c r="J230" s="804" t="s">
        <v>149</v>
      </c>
      <c r="K230" s="769"/>
      <c r="L230" s="769">
        <f>ANALISA!$N$226</f>
        <v>135758</v>
      </c>
      <c r="M230" s="767">
        <f t="shared" si="14"/>
        <v>0</v>
      </c>
      <c r="N230" s="768"/>
      <c r="O230" s="788"/>
    </row>
    <row r="231" spans="3:15" ht="15.75" hidden="1">
      <c r="C231" s="758">
        <f t="shared" si="15"/>
        <v>17</v>
      </c>
      <c r="D231" s="761"/>
      <c r="E231" s="760" t="s">
        <v>113</v>
      </c>
      <c r="F231" s="759"/>
      <c r="G231" s="761" t="s">
        <v>296</v>
      </c>
      <c r="H231" s="759"/>
      <c r="I231" s="759"/>
      <c r="J231" s="815" t="s">
        <v>134</v>
      </c>
      <c r="K231" s="767"/>
      <c r="L231" s="767">
        <f>ANALISA!$N$27</f>
        <v>93400</v>
      </c>
      <c r="M231" s="767">
        <f t="shared" si="14"/>
        <v>0</v>
      </c>
      <c r="N231" s="768"/>
      <c r="O231" s="788"/>
    </row>
    <row r="232" spans="3:15" ht="15.75" hidden="1">
      <c r="C232" s="758">
        <f t="shared" si="15"/>
        <v>18</v>
      </c>
      <c r="D232" s="761"/>
      <c r="E232" s="760" t="s">
        <v>118</v>
      </c>
      <c r="F232" s="761"/>
      <c r="G232" s="760" t="s">
        <v>297</v>
      </c>
      <c r="H232" s="760"/>
      <c r="I232" s="761"/>
      <c r="J232" s="766" t="s">
        <v>149</v>
      </c>
      <c r="K232" s="816"/>
      <c r="L232" s="767">
        <f>ANALISA!$N$105</f>
        <v>467450</v>
      </c>
      <c r="M232" s="767">
        <f t="shared" si="14"/>
        <v>0</v>
      </c>
      <c r="N232" s="768"/>
      <c r="O232" s="788"/>
    </row>
    <row r="233" spans="3:15" ht="15.75" hidden="1">
      <c r="C233" s="758">
        <f t="shared" si="15"/>
        <v>19</v>
      </c>
      <c r="D233" s="761"/>
      <c r="E233" s="760" t="s">
        <v>308</v>
      </c>
      <c r="F233" s="784"/>
      <c r="G233" s="784"/>
      <c r="H233" s="784"/>
      <c r="I233" s="803"/>
      <c r="J233" s="827" t="s">
        <v>149</v>
      </c>
      <c r="K233" s="769"/>
      <c r="L233" s="767">
        <f>ANALISA!$N$408</f>
        <v>70760</v>
      </c>
      <c r="M233" s="769">
        <f t="shared" si="14"/>
        <v>0</v>
      </c>
      <c r="N233" s="768"/>
      <c r="O233" s="788"/>
    </row>
    <row r="234" spans="3:15" ht="15.75" hidden="1">
      <c r="C234" s="758">
        <f t="shared" si="15"/>
        <v>20</v>
      </c>
      <c r="D234" s="761"/>
      <c r="E234" s="818" t="s">
        <v>301</v>
      </c>
      <c r="F234" s="803"/>
      <c r="G234" s="803"/>
      <c r="H234" s="803"/>
      <c r="I234" s="803"/>
      <c r="J234" s="827" t="s">
        <v>153</v>
      </c>
      <c r="K234" s="769"/>
      <c r="L234" s="769">
        <f>L193</f>
        <v>15000</v>
      </c>
      <c r="M234" s="769">
        <f t="shared" si="14"/>
        <v>0</v>
      </c>
      <c r="N234" s="768"/>
      <c r="O234" s="788"/>
    </row>
    <row r="235" spans="3:15" ht="15.75" hidden="1">
      <c r="C235" s="758">
        <f t="shared" si="15"/>
        <v>21</v>
      </c>
      <c r="D235" s="761"/>
      <c r="E235" s="818" t="s">
        <v>35</v>
      </c>
      <c r="F235" s="803"/>
      <c r="G235" s="803" t="s">
        <v>880</v>
      </c>
      <c r="H235" s="803"/>
      <c r="I235" s="803"/>
      <c r="J235" s="804" t="s">
        <v>149</v>
      </c>
      <c r="K235" s="769"/>
      <c r="L235" s="769">
        <f>ANALISA!$N$441</f>
        <v>8967.4</v>
      </c>
      <c r="M235" s="769">
        <f t="shared" si="14"/>
        <v>0</v>
      </c>
      <c r="N235" s="768"/>
      <c r="O235" s="788"/>
    </row>
    <row r="236" spans="3:15" ht="15.75" hidden="1">
      <c r="C236" s="758">
        <f t="shared" si="15"/>
        <v>22</v>
      </c>
      <c r="D236" s="761"/>
      <c r="E236" s="760" t="s">
        <v>131</v>
      </c>
      <c r="F236" s="803"/>
      <c r="G236" s="803"/>
      <c r="H236" s="803"/>
      <c r="I236" s="803"/>
      <c r="J236" s="804" t="s">
        <v>149</v>
      </c>
      <c r="K236" s="769"/>
      <c r="L236" s="769">
        <f>ANALISA!$N$460</f>
        <v>7617.4</v>
      </c>
      <c r="M236" s="769">
        <f t="shared" si="14"/>
        <v>0</v>
      </c>
      <c r="N236" s="768"/>
      <c r="O236" s="788"/>
    </row>
    <row r="237" spans="3:15" ht="15.75" hidden="1">
      <c r="C237" s="758">
        <f t="shared" si="15"/>
        <v>23</v>
      </c>
      <c r="D237" s="761"/>
      <c r="E237" s="760" t="s">
        <v>1141</v>
      </c>
      <c r="F237" s="803"/>
      <c r="G237" s="803"/>
      <c r="H237" s="803"/>
      <c r="I237" s="803"/>
      <c r="J237" s="804" t="s">
        <v>161</v>
      </c>
      <c r="K237" s="769"/>
      <c r="L237" s="769">
        <f>ANALISA!N962</f>
        <v>2128400</v>
      </c>
      <c r="M237" s="769">
        <f t="shared" si="14"/>
        <v>0</v>
      </c>
      <c r="N237" s="768"/>
      <c r="O237" s="788"/>
    </row>
    <row r="238" spans="3:15" ht="15.75" hidden="1">
      <c r="C238" s="758">
        <f t="shared" si="15"/>
        <v>24</v>
      </c>
      <c r="D238" s="761"/>
      <c r="E238" s="760" t="s">
        <v>918</v>
      </c>
      <c r="F238" s="803"/>
      <c r="G238" s="818"/>
      <c r="H238" s="818"/>
      <c r="I238" s="803"/>
      <c r="J238" s="804" t="s">
        <v>149</v>
      </c>
      <c r="K238" s="769"/>
      <c r="L238" s="769">
        <f>ANALISA!$N$341</f>
        <v>68647.7</v>
      </c>
      <c r="M238" s="769">
        <f t="shared" si="14"/>
        <v>0</v>
      </c>
      <c r="N238" s="768"/>
      <c r="O238" s="788"/>
    </row>
    <row r="239" spans="3:15" ht="15.75" hidden="1">
      <c r="C239" s="758">
        <f t="shared" si="15"/>
        <v>25</v>
      </c>
      <c r="D239" s="761"/>
      <c r="E239" s="760" t="s">
        <v>917</v>
      </c>
      <c r="F239" s="803"/>
      <c r="G239" s="818"/>
      <c r="H239" s="818"/>
      <c r="I239" s="803"/>
      <c r="J239" s="804" t="s">
        <v>153</v>
      </c>
      <c r="K239" s="769"/>
      <c r="L239" s="769">
        <f>ANALISA!$L$350</f>
        <v>13500</v>
      </c>
      <c r="M239" s="769">
        <f t="shared" si="14"/>
        <v>0</v>
      </c>
      <c r="N239" s="768"/>
      <c r="O239" s="788"/>
    </row>
    <row r="240" spans="3:15" ht="15.75" hidden="1">
      <c r="C240" s="758">
        <f t="shared" si="15"/>
        <v>26</v>
      </c>
      <c r="D240" s="761"/>
      <c r="E240" s="760" t="s">
        <v>463</v>
      </c>
      <c r="F240" s="803"/>
      <c r="G240" s="818"/>
      <c r="H240" s="818"/>
      <c r="I240" s="803"/>
      <c r="J240" s="804" t="s">
        <v>153</v>
      </c>
      <c r="K240" s="769"/>
      <c r="L240" s="769">
        <f>ANALISA!$N$400</f>
        <v>45619.5</v>
      </c>
      <c r="M240" s="769">
        <f t="shared" si="14"/>
        <v>0</v>
      </c>
      <c r="N240" s="768"/>
      <c r="O240" s="788"/>
    </row>
    <row r="241" spans="3:15" ht="15.75" hidden="1">
      <c r="C241" s="758">
        <f t="shared" si="15"/>
        <v>27</v>
      </c>
      <c r="D241" s="761"/>
      <c r="E241" s="840" t="s">
        <v>481</v>
      </c>
      <c r="F241" s="803"/>
      <c r="G241" s="818"/>
      <c r="H241" s="818"/>
      <c r="I241" s="803"/>
      <c r="J241" s="804" t="s">
        <v>153</v>
      </c>
      <c r="K241" s="769"/>
      <c r="L241" s="769">
        <f>ANALISA!$N$382*0.25</f>
        <v>61679.75</v>
      </c>
      <c r="M241" s="769">
        <f t="shared" si="14"/>
        <v>0</v>
      </c>
      <c r="N241" s="768"/>
      <c r="O241" s="788"/>
    </row>
    <row r="242" spans="3:15" ht="15.75" hidden="1">
      <c r="C242" s="758">
        <f t="shared" si="15"/>
        <v>28</v>
      </c>
      <c r="D242" s="761"/>
      <c r="E242" s="817" t="s">
        <v>31</v>
      </c>
      <c r="F242" s="784"/>
      <c r="G242" s="784"/>
      <c r="H242" s="784"/>
      <c r="I242" s="784"/>
      <c r="J242" s="827" t="s">
        <v>149</v>
      </c>
      <c r="K242" s="769"/>
      <c r="L242" s="769">
        <f>$L$59</f>
        <v>175000</v>
      </c>
      <c r="M242" s="767">
        <f t="shared" si="14"/>
        <v>0</v>
      </c>
      <c r="N242" s="768"/>
      <c r="O242" s="788"/>
    </row>
    <row r="243" spans="3:15" ht="15.75" hidden="1">
      <c r="C243" s="758">
        <f t="shared" si="15"/>
        <v>29</v>
      </c>
      <c r="D243" s="761"/>
      <c r="E243" s="760" t="s">
        <v>542</v>
      </c>
      <c r="F243" s="761"/>
      <c r="G243" s="760"/>
      <c r="H243" s="760"/>
      <c r="I243" s="761"/>
      <c r="J243" s="827" t="s">
        <v>139</v>
      </c>
      <c r="K243" s="767"/>
      <c r="L243" s="767">
        <f>+L209</f>
        <v>175000</v>
      </c>
      <c r="M243" s="767">
        <f t="shared" si="14"/>
        <v>0</v>
      </c>
      <c r="N243" s="768"/>
      <c r="O243" s="788"/>
    </row>
    <row r="244" spans="3:15" ht="15.75" hidden="1">
      <c r="C244" s="758">
        <f t="shared" si="15"/>
        <v>30</v>
      </c>
      <c r="D244" s="761"/>
      <c r="E244" s="760" t="s">
        <v>879</v>
      </c>
      <c r="F244" s="761"/>
      <c r="G244" s="760"/>
      <c r="H244" s="760"/>
      <c r="I244" s="761"/>
      <c r="J244" s="827" t="s">
        <v>134</v>
      </c>
      <c r="K244" s="767"/>
      <c r="L244" s="767">
        <f>ANALISA!$N$105</f>
        <v>467450</v>
      </c>
      <c r="M244" s="767">
        <f t="shared" si="14"/>
        <v>0</v>
      </c>
      <c r="N244" s="768"/>
      <c r="O244" s="788"/>
    </row>
    <row r="245" spans="3:15" ht="15.75" hidden="1">
      <c r="C245" s="770"/>
      <c r="D245" s="771"/>
      <c r="E245" s="772"/>
      <c r="F245" s="771"/>
      <c r="G245" s="771"/>
      <c r="H245" s="771"/>
      <c r="I245" s="771"/>
      <c r="J245" s="773"/>
      <c r="K245" s="774"/>
      <c r="L245" s="774"/>
      <c r="M245" s="774"/>
      <c r="N245" s="776"/>
      <c r="O245" s="788"/>
    </row>
    <row r="246" spans="3:15" ht="15.75" hidden="1">
      <c r="C246" s="982"/>
      <c r="D246" s="892"/>
      <c r="E246" s="893"/>
      <c r="F246" s="892"/>
      <c r="G246" s="892"/>
      <c r="H246" s="892"/>
      <c r="I246" s="892"/>
      <c r="J246" s="1003" t="s">
        <v>1158</v>
      </c>
      <c r="K246" s="1000"/>
      <c r="L246" s="1000"/>
      <c r="M246" s="1004"/>
      <c r="N246" s="894">
        <f>SUM(N214:N245)</f>
        <v>0</v>
      </c>
      <c r="O246" s="814"/>
    </row>
    <row r="247" spans="3:15" ht="14.25" customHeight="1" hidden="1">
      <c r="C247" s="766"/>
      <c r="D247" s="761"/>
      <c r="E247" s="854"/>
      <c r="F247" s="854"/>
      <c r="G247" s="854"/>
      <c r="H247" s="854"/>
      <c r="I247" s="854"/>
      <c r="J247" s="815"/>
      <c r="K247" s="768"/>
      <c r="L247" s="769"/>
      <c r="M247" s="768"/>
      <c r="N247" s="768"/>
      <c r="O247" s="788"/>
    </row>
    <row r="248" spans="3:15" ht="15.75" hidden="1">
      <c r="C248" s="977" t="s">
        <v>502</v>
      </c>
      <c r="D248" s="980"/>
      <c r="E248" s="981" t="s">
        <v>622</v>
      </c>
      <c r="F248" s="817"/>
      <c r="G248" s="817"/>
      <c r="H248" s="817"/>
      <c r="I248" s="817"/>
      <c r="J248" s="815"/>
      <c r="K248" s="768"/>
      <c r="L248" s="769"/>
      <c r="M248" s="768"/>
      <c r="N248" s="768"/>
      <c r="O248" s="788"/>
    </row>
    <row r="249" spans="3:15" ht="15.75" hidden="1">
      <c r="C249" s="984" t="s">
        <v>219</v>
      </c>
      <c r="D249" s="759"/>
      <c r="E249" s="845" t="s">
        <v>687</v>
      </c>
      <c r="F249" s="817"/>
      <c r="G249" s="817"/>
      <c r="H249" s="817"/>
      <c r="I249" s="817"/>
      <c r="J249" s="815"/>
      <c r="K249" s="768"/>
      <c r="L249" s="769"/>
      <c r="M249" s="768"/>
      <c r="N249" s="768"/>
      <c r="O249" s="788"/>
    </row>
    <row r="250" spans="3:15" ht="15.75" hidden="1">
      <c r="C250" s="984" t="s">
        <v>261</v>
      </c>
      <c r="D250" s="761"/>
      <c r="E250" s="845" t="s">
        <v>689</v>
      </c>
      <c r="F250" s="817"/>
      <c r="G250" s="817"/>
      <c r="H250" s="817">
        <v>13</v>
      </c>
      <c r="I250" s="817" t="s">
        <v>139</v>
      </c>
      <c r="J250" s="815"/>
      <c r="K250" s="768"/>
      <c r="L250" s="769"/>
      <c r="M250" s="768"/>
      <c r="N250" s="765"/>
      <c r="O250" s="814"/>
    </row>
    <row r="251" spans="3:15" ht="15.75" hidden="1">
      <c r="C251" s="758">
        <f aca="true" t="shared" si="16" ref="C251:C257">C250+1</f>
        <v>1</v>
      </c>
      <c r="D251" s="761"/>
      <c r="E251" s="760" t="s">
        <v>1145</v>
      </c>
      <c r="F251" s="817"/>
      <c r="G251" s="846"/>
      <c r="H251" s="817"/>
      <c r="I251" s="817"/>
      <c r="J251" s="815" t="s">
        <v>134</v>
      </c>
      <c r="K251" s="768"/>
      <c r="L251" s="767">
        <f>ANALISA!$N$12</f>
        <v>13600</v>
      </c>
      <c r="M251" s="767">
        <f aca="true" t="shared" si="17" ref="M251:M257">K251*L251</f>
        <v>0</v>
      </c>
      <c r="N251" s="768"/>
      <c r="O251" s="788"/>
    </row>
    <row r="252" spans="3:15" ht="15.75" hidden="1">
      <c r="C252" s="758">
        <f t="shared" si="16"/>
        <v>2</v>
      </c>
      <c r="D252" s="761"/>
      <c r="E252" s="760" t="s">
        <v>129</v>
      </c>
      <c r="F252" s="817"/>
      <c r="G252" s="846"/>
      <c r="H252" s="817"/>
      <c r="I252" s="817"/>
      <c r="J252" s="815" t="s">
        <v>134</v>
      </c>
      <c r="K252" s="768"/>
      <c r="L252" s="767">
        <f>ANALISA!$N$37</f>
        <v>387900</v>
      </c>
      <c r="M252" s="767">
        <f t="shared" si="17"/>
        <v>0</v>
      </c>
      <c r="N252" s="768"/>
      <c r="O252" s="788"/>
    </row>
    <row r="253" spans="3:15" ht="15.75" hidden="1">
      <c r="C253" s="758">
        <f t="shared" si="16"/>
        <v>3</v>
      </c>
      <c r="D253" s="761"/>
      <c r="E253" s="760" t="s">
        <v>114</v>
      </c>
      <c r="F253" s="817"/>
      <c r="G253" s="846"/>
      <c r="H253" s="817"/>
      <c r="I253" s="817"/>
      <c r="J253" s="815" t="s">
        <v>134</v>
      </c>
      <c r="K253" s="768"/>
      <c r="L253" s="767">
        <f>ANALISA!$N$46</f>
        <v>201120</v>
      </c>
      <c r="M253" s="767">
        <f t="shared" si="17"/>
        <v>0</v>
      </c>
      <c r="N253" s="768"/>
      <c r="O253" s="788"/>
    </row>
    <row r="254" spans="3:15" ht="15.75" hidden="1">
      <c r="C254" s="758">
        <f t="shared" si="16"/>
        <v>4</v>
      </c>
      <c r="D254" s="761"/>
      <c r="E254" s="760" t="s">
        <v>113</v>
      </c>
      <c r="F254" s="817"/>
      <c r="G254" s="846"/>
      <c r="H254" s="817"/>
      <c r="I254" s="817"/>
      <c r="J254" s="815" t="s">
        <v>134</v>
      </c>
      <c r="K254" s="768"/>
      <c r="L254" s="767">
        <f>ANALISA!$N$27</f>
        <v>93400</v>
      </c>
      <c r="M254" s="767">
        <f t="shared" si="17"/>
        <v>0</v>
      </c>
      <c r="N254" s="768"/>
      <c r="O254" s="788"/>
    </row>
    <row r="255" spans="3:15" ht="15.75" hidden="1">
      <c r="C255" s="758">
        <f t="shared" si="16"/>
        <v>5</v>
      </c>
      <c r="D255" s="761"/>
      <c r="E255" s="760" t="s">
        <v>6</v>
      </c>
      <c r="F255" s="817"/>
      <c r="G255" s="846"/>
      <c r="H255" s="817"/>
      <c r="I255" s="817"/>
      <c r="J255" s="815" t="s">
        <v>149</v>
      </c>
      <c r="K255" s="768"/>
      <c r="L255" s="767">
        <f>ANALISA!$N$87</f>
        <v>18569.6</v>
      </c>
      <c r="M255" s="767">
        <f t="shared" si="17"/>
        <v>0</v>
      </c>
      <c r="N255" s="768"/>
      <c r="O255" s="788"/>
    </row>
    <row r="256" spans="3:15" ht="15.75" hidden="1">
      <c r="C256" s="758">
        <f t="shared" si="16"/>
        <v>6</v>
      </c>
      <c r="D256" s="761"/>
      <c r="E256" s="760" t="s">
        <v>194</v>
      </c>
      <c r="F256" s="817"/>
      <c r="G256" s="846"/>
      <c r="H256" s="817"/>
      <c r="I256" s="817"/>
      <c r="J256" s="815" t="s">
        <v>134</v>
      </c>
      <c r="K256" s="768"/>
      <c r="L256" s="767">
        <f>ANALISA!$N$675</f>
        <v>3456190.5</v>
      </c>
      <c r="M256" s="767">
        <f t="shared" si="17"/>
        <v>0</v>
      </c>
      <c r="N256" s="768"/>
      <c r="O256" s="788"/>
    </row>
    <row r="257" spans="3:15" ht="15.75" hidden="1">
      <c r="C257" s="758">
        <f t="shared" si="16"/>
        <v>7</v>
      </c>
      <c r="D257" s="761"/>
      <c r="E257" s="818" t="s">
        <v>1143</v>
      </c>
      <c r="F257" s="817"/>
      <c r="G257" s="803" t="s">
        <v>875</v>
      </c>
      <c r="H257" s="817"/>
      <c r="I257" s="817"/>
      <c r="J257" s="815" t="s">
        <v>149</v>
      </c>
      <c r="K257" s="768"/>
      <c r="L257" s="769">
        <f>ANALISA!$N$441</f>
        <v>8967.4</v>
      </c>
      <c r="M257" s="767">
        <f t="shared" si="17"/>
        <v>0</v>
      </c>
      <c r="N257" s="768"/>
      <c r="O257" s="788"/>
    </row>
    <row r="258" spans="3:15" ht="15.75" hidden="1">
      <c r="C258" s="766"/>
      <c r="D258" s="761"/>
      <c r="E258" s="817"/>
      <c r="F258" s="817"/>
      <c r="G258" s="817"/>
      <c r="H258" s="817"/>
      <c r="I258" s="817"/>
      <c r="J258" s="815"/>
      <c r="K258" s="768"/>
      <c r="L258" s="769"/>
      <c r="M258" s="768"/>
      <c r="N258" s="768"/>
      <c r="O258" s="788"/>
    </row>
    <row r="259" spans="3:15" ht="15.75" hidden="1">
      <c r="C259" s="984" t="s">
        <v>1262</v>
      </c>
      <c r="D259" s="761"/>
      <c r="E259" s="845" t="s">
        <v>1080</v>
      </c>
      <c r="F259" s="817"/>
      <c r="G259" s="817"/>
      <c r="H259" s="817">
        <v>36.15</v>
      </c>
      <c r="I259" s="817" t="s">
        <v>335</v>
      </c>
      <c r="J259" s="815"/>
      <c r="K259" s="768"/>
      <c r="L259" s="769"/>
      <c r="M259" s="768"/>
      <c r="N259" s="765">
        <f>SUM(M260:M270)</f>
        <v>0</v>
      </c>
      <c r="O259" s="814"/>
    </row>
    <row r="260" spans="3:15" ht="15.75" hidden="1">
      <c r="C260" s="758">
        <f aca="true" t="shared" si="18" ref="C260:C270">C259+1</f>
        <v>1</v>
      </c>
      <c r="D260" s="761"/>
      <c r="E260" s="760" t="s">
        <v>1145</v>
      </c>
      <c r="F260" s="817"/>
      <c r="G260" s="846"/>
      <c r="H260" s="817"/>
      <c r="I260" s="817"/>
      <c r="J260" s="815" t="s">
        <v>134</v>
      </c>
      <c r="K260" s="768"/>
      <c r="L260" s="767">
        <f>ANALISA!$N$12</f>
        <v>13600</v>
      </c>
      <c r="M260" s="767">
        <f aca="true" t="shared" si="19" ref="M260:M269">K260*L260</f>
        <v>0</v>
      </c>
      <c r="N260" s="768"/>
      <c r="O260" s="788"/>
    </row>
    <row r="261" spans="3:15" ht="15.75" hidden="1">
      <c r="C261" s="758">
        <f t="shared" si="18"/>
        <v>2</v>
      </c>
      <c r="D261" s="761"/>
      <c r="E261" s="760" t="s">
        <v>129</v>
      </c>
      <c r="F261" s="817"/>
      <c r="G261" s="846"/>
      <c r="H261" s="817"/>
      <c r="I261" s="817"/>
      <c r="J261" s="815" t="s">
        <v>134</v>
      </c>
      <c r="K261" s="768"/>
      <c r="L261" s="767">
        <f>ANALISA!$N$37</f>
        <v>387900</v>
      </c>
      <c r="M261" s="767">
        <f t="shared" si="19"/>
        <v>0</v>
      </c>
      <c r="N261" s="768"/>
      <c r="O261" s="788"/>
    </row>
    <row r="262" spans="3:15" ht="15.75" hidden="1">
      <c r="C262" s="758">
        <f t="shared" si="18"/>
        <v>3</v>
      </c>
      <c r="D262" s="761"/>
      <c r="E262" s="760" t="s">
        <v>114</v>
      </c>
      <c r="F262" s="817"/>
      <c r="G262" s="846"/>
      <c r="H262" s="817"/>
      <c r="I262" s="817"/>
      <c r="J262" s="815" t="s">
        <v>134</v>
      </c>
      <c r="K262" s="768"/>
      <c r="L262" s="767">
        <f>ANALISA!$N$46</f>
        <v>201120</v>
      </c>
      <c r="M262" s="767">
        <f t="shared" si="19"/>
        <v>0</v>
      </c>
      <c r="N262" s="768"/>
      <c r="O262" s="788"/>
    </row>
    <row r="263" spans="3:15" ht="15.75" hidden="1">
      <c r="C263" s="758">
        <f t="shared" si="18"/>
        <v>4</v>
      </c>
      <c r="D263" s="761"/>
      <c r="E263" s="760" t="s">
        <v>113</v>
      </c>
      <c r="F263" s="817"/>
      <c r="G263" s="846"/>
      <c r="H263" s="817"/>
      <c r="I263" s="817"/>
      <c r="J263" s="815" t="s">
        <v>134</v>
      </c>
      <c r="K263" s="768"/>
      <c r="L263" s="767">
        <f>ANALISA!$N$27</f>
        <v>93400</v>
      </c>
      <c r="M263" s="767">
        <f t="shared" si="19"/>
        <v>0</v>
      </c>
      <c r="N263" s="768"/>
      <c r="O263" s="788"/>
    </row>
    <row r="264" spans="3:15" ht="15.75" hidden="1">
      <c r="C264" s="758">
        <f t="shared" si="18"/>
        <v>5</v>
      </c>
      <c r="D264" s="761"/>
      <c r="E264" s="760" t="s">
        <v>6</v>
      </c>
      <c r="F264" s="817"/>
      <c r="G264" s="846"/>
      <c r="H264" s="817"/>
      <c r="I264" s="817"/>
      <c r="J264" s="815" t="s">
        <v>149</v>
      </c>
      <c r="K264" s="768"/>
      <c r="L264" s="767">
        <f>ANALISA!$N$87</f>
        <v>18569.6</v>
      </c>
      <c r="M264" s="767">
        <f t="shared" si="19"/>
        <v>0</v>
      </c>
      <c r="N264" s="768"/>
      <c r="O264" s="788"/>
    </row>
    <row r="265" spans="3:15" ht="15.75" hidden="1">
      <c r="C265" s="758">
        <f t="shared" si="18"/>
        <v>6</v>
      </c>
      <c r="D265" s="761"/>
      <c r="E265" s="760" t="s">
        <v>286</v>
      </c>
      <c r="F265" s="817"/>
      <c r="G265" s="846"/>
      <c r="H265" s="817"/>
      <c r="I265" s="817"/>
      <c r="J265" s="815" t="s">
        <v>134</v>
      </c>
      <c r="K265" s="768"/>
      <c r="L265" s="767">
        <f>ANALISA!$N$631</f>
        <v>2727535.3333333335</v>
      </c>
      <c r="M265" s="767">
        <f t="shared" si="19"/>
        <v>0</v>
      </c>
      <c r="N265" s="768"/>
      <c r="O265" s="788"/>
    </row>
    <row r="266" spans="3:15" ht="15.75" hidden="1">
      <c r="C266" s="758">
        <f t="shared" si="18"/>
        <v>7</v>
      </c>
      <c r="D266" s="761"/>
      <c r="E266" s="760" t="s">
        <v>5</v>
      </c>
      <c r="F266" s="817"/>
      <c r="G266" s="846"/>
      <c r="H266" s="817"/>
      <c r="I266" s="817"/>
      <c r="J266" s="815" t="s">
        <v>134</v>
      </c>
      <c r="K266" s="768"/>
      <c r="L266" s="767">
        <f>ANALISA!$N$63</f>
        <v>49538</v>
      </c>
      <c r="M266" s="767">
        <f t="shared" si="19"/>
        <v>0</v>
      </c>
      <c r="N266" s="768"/>
      <c r="O266" s="788"/>
    </row>
    <row r="267" spans="3:15" ht="15.75" hidden="1">
      <c r="C267" s="758">
        <f t="shared" si="18"/>
        <v>8</v>
      </c>
      <c r="D267" s="761"/>
      <c r="E267" s="818" t="s">
        <v>1144</v>
      </c>
      <c r="F267" s="817"/>
      <c r="G267" s="803" t="s">
        <v>875</v>
      </c>
      <c r="H267" s="817"/>
      <c r="I267" s="817"/>
      <c r="J267" s="815" t="s">
        <v>149</v>
      </c>
      <c r="K267" s="768"/>
      <c r="L267" s="769">
        <f>ANALISA!$N$441</f>
        <v>8967.4</v>
      </c>
      <c r="M267" s="767">
        <f t="shared" si="19"/>
        <v>0</v>
      </c>
      <c r="N267" s="768"/>
      <c r="O267" s="788"/>
    </row>
    <row r="268" spans="3:15" ht="15.75" hidden="1">
      <c r="C268" s="758">
        <v>1</v>
      </c>
      <c r="D268" s="761"/>
      <c r="E268" s="817" t="s">
        <v>1257</v>
      </c>
      <c r="F268" s="817"/>
      <c r="G268" s="846"/>
      <c r="H268" s="817"/>
      <c r="I268" s="817"/>
      <c r="J268" s="815" t="s">
        <v>149</v>
      </c>
      <c r="K268" s="768"/>
      <c r="L268" s="767">
        <v>375000</v>
      </c>
      <c r="M268" s="767">
        <f t="shared" si="19"/>
        <v>0</v>
      </c>
      <c r="N268" s="768"/>
      <c r="O268" s="788"/>
    </row>
    <row r="269" spans="3:15" ht="15.75" hidden="1">
      <c r="C269" s="758">
        <f t="shared" si="18"/>
        <v>2</v>
      </c>
      <c r="D269" s="761"/>
      <c r="E269" s="817" t="s">
        <v>1097</v>
      </c>
      <c r="F269" s="817"/>
      <c r="G269" s="847" t="s">
        <v>1098</v>
      </c>
      <c r="H269" s="817"/>
      <c r="I269" s="817"/>
      <c r="J269" s="815" t="s">
        <v>139</v>
      </c>
      <c r="K269" s="768"/>
      <c r="L269" s="767">
        <f>250000*1.3</f>
        <v>325000</v>
      </c>
      <c r="M269" s="767">
        <f t="shared" si="19"/>
        <v>0</v>
      </c>
      <c r="N269" s="768"/>
      <c r="O269" s="788"/>
    </row>
    <row r="270" spans="3:15" ht="15.75" hidden="1">
      <c r="C270" s="956">
        <f t="shared" si="18"/>
        <v>3</v>
      </c>
      <c r="D270" s="957"/>
      <c r="E270" s="958" t="s">
        <v>907</v>
      </c>
      <c r="F270" s="958"/>
      <c r="G270" s="959"/>
      <c r="H270" s="958"/>
      <c r="I270" s="958"/>
      <c r="J270" s="960" t="s">
        <v>153</v>
      </c>
      <c r="K270" s="961"/>
      <c r="L270" s="962">
        <f>1.2*500000</f>
        <v>600000</v>
      </c>
      <c r="M270" s="961">
        <f>L270*K270</f>
        <v>0</v>
      </c>
      <c r="N270" s="961"/>
      <c r="O270" s="788"/>
    </row>
    <row r="271" spans="3:15" ht="15.75" hidden="1">
      <c r="C271" s="964"/>
      <c r="D271" s="965"/>
      <c r="E271" s="966"/>
      <c r="F271" s="966"/>
      <c r="G271" s="967"/>
      <c r="H271" s="966"/>
      <c r="I271" s="966"/>
      <c r="J271" s="968"/>
      <c r="K271" s="969"/>
      <c r="L271" s="963"/>
      <c r="M271" s="969"/>
      <c r="N271" s="969"/>
      <c r="O271" s="788"/>
    </row>
    <row r="272" spans="3:15" ht="15.75" hidden="1">
      <c r="C272" s="984" t="s">
        <v>263</v>
      </c>
      <c r="D272" s="761"/>
      <c r="E272" s="848" t="s">
        <v>1084</v>
      </c>
      <c r="F272" s="817"/>
      <c r="G272" s="846"/>
      <c r="H272" s="817"/>
      <c r="I272" s="817"/>
      <c r="J272" s="815"/>
      <c r="K272" s="768"/>
      <c r="L272" s="769"/>
      <c r="M272" s="768"/>
      <c r="N272" s="765"/>
      <c r="O272" s="814"/>
    </row>
    <row r="273" spans="3:15" ht="15.75" hidden="1">
      <c r="C273" s="758">
        <f aca="true" t="shared" si="20" ref="C273:C278">C272+1</f>
        <v>1</v>
      </c>
      <c r="D273" s="761"/>
      <c r="E273" s="760" t="s">
        <v>1089</v>
      </c>
      <c r="F273" s="817"/>
      <c r="G273" s="846"/>
      <c r="H273" s="817"/>
      <c r="I273" s="817"/>
      <c r="J273" s="815" t="s">
        <v>134</v>
      </c>
      <c r="K273" s="768"/>
      <c r="L273" s="769">
        <f>ANALISA!N675</f>
        <v>3456190.5</v>
      </c>
      <c r="M273" s="768">
        <f aca="true" t="shared" si="21" ref="M273:M278">L273*K273</f>
        <v>0</v>
      </c>
      <c r="N273" s="768"/>
      <c r="O273" s="788"/>
    </row>
    <row r="274" spans="3:15" ht="15.75" hidden="1">
      <c r="C274" s="758">
        <f t="shared" si="20"/>
        <v>2</v>
      </c>
      <c r="D274" s="761"/>
      <c r="E274" s="760" t="s">
        <v>1088</v>
      </c>
      <c r="F274" s="817"/>
      <c r="G274" s="846"/>
      <c r="H274" s="817"/>
      <c r="I274" s="817"/>
      <c r="J274" s="815" t="s">
        <v>149</v>
      </c>
      <c r="K274" s="768"/>
      <c r="L274" s="769">
        <f>L264</f>
        <v>18569.6</v>
      </c>
      <c r="M274" s="768">
        <f t="shared" si="21"/>
        <v>0</v>
      </c>
      <c r="N274" s="768"/>
      <c r="O274" s="788"/>
    </row>
    <row r="275" spans="3:15" ht="15.75" hidden="1">
      <c r="C275" s="758">
        <f t="shared" si="20"/>
        <v>3</v>
      </c>
      <c r="D275" s="761"/>
      <c r="E275" s="760" t="s">
        <v>871</v>
      </c>
      <c r="F275" s="817"/>
      <c r="G275" s="846"/>
      <c r="H275" s="817"/>
      <c r="I275" s="817"/>
      <c r="J275" s="815" t="s">
        <v>153</v>
      </c>
      <c r="K275" s="768"/>
      <c r="L275" s="769">
        <f>L81</f>
        <v>5422.4</v>
      </c>
      <c r="M275" s="768">
        <f t="shared" si="21"/>
        <v>0</v>
      </c>
      <c r="N275" s="768"/>
      <c r="O275" s="788"/>
    </row>
    <row r="276" spans="3:15" ht="15.75" hidden="1">
      <c r="C276" s="758">
        <f t="shared" si="20"/>
        <v>4</v>
      </c>
      <c r="D276" s="761"/>
      <c r="E276" s="760" t="s">
        <v>1122</v>
      </c>
      <c r="F276" s="817"/>
      <c r="G276" s="846"/>
      <c r="H276" s="817"/>
      <c r="I276" s="817"/>
      <c r="J276" s="815" t="s">
        <v>149</v>
      </c>
      <c r="K276" s="768"/>
      <c r="L276" s="768">
        <f>ANALISA!N214</f>
        <v>215758</v>
      </c>
      <c r="M276" s="768">
        <f t="shared" si="21"/>
        <v>0</v>
      </c>
      <c r="N276" s="768"/>
      <c r="O276" s="788"/>
    </row>
    <row r="277" spans="3:15" ht="15.75" hidden="1">
      <c r="C277" s="758">
        <f t="shared" si="20"/>
        <v>5</v>
      </c>
      <c r="D277" s="761"/>
      <c r="E277" s="760" t="s">
        <v>1086</v>
      </c>
      <c r="F277" s="817"/>
      <c r="G277" s="846"/>
      <c r="H277" s="817"/>
      <c r="I277" s="817"/>
      <c r="J277" s="815" t="s">
        <v>161</v>
      </c>
      <c r="K277" s="768"/>
      <c r="L277" s="769">
        <v>1000000</v>
      </c>
      <c r="M277" s="768">
        <f t="shared" si="21"/>
        <v>0</v>
      </c>
      <c r="N277" s="768"/>
      <c r="O277" s="788"/>
    </row>
    <row r="278" spans="3:15" ht="15.75" hidden="1">
      <c r="C278" s="758">
        <f t="shared" si="20"/>
        <v>6</v>
      </c>
      <c r="D278" s="761"/>
      <c r="E278" s="760" t="s">
        <v>1087</v>
      </c>
      <c r="F278" s="817"/>
      <c r="G278" s="846"/>
      <c r="H278" s="817"/>
      <c r="I278" s="817"/>
      <c r="J278" s="815" t="s">
        <v>161</v>
      </c>
      <c r="K278" s="768"/>
      <c r="L278" s="769">
        <v>1000000</v>
      </c>
      <c r="M278" s="768">
        <f t="shared" si="21"/>
        <v>0</v>
      </c>
      <c r="N278" s="768"/>
      <c r="O278" s="788"/>
    </row>
    <row r="279" spans="3:15" ht="15.75" hidden="1">
      <c r="C279" s="773"/>
      <c r="D279" s="771"/>
      <c r="E279" s="843"/>
      <c r="F279" s="843"/>
      <c r="G279" s="843"/>
      <c r="H279" s="843"/>
      <c r="I279" s="843"/>
      <c r="J279" s="844"/>
      <c r="K279" s="776"/>
      <c r="L279" s="775"/>
      <c r="M279" s="776"/>
      <c r="N279" s="776"/>
      <c r="O279" s="788"/>
    </row>
    <row r="280" spans="3:15" ht="15.75">
      <c r="C280" s="800"/>
      <c r="D280" s="797"/>
      <c r="E280" s="849"/>
      <c r="F280" s="849"/>
      <c r="G280" s="849"/>
      <c r="H280" s="849"/>
      <c r="I280" s="849"/>
      <c r="J280" s="850"/>
      <c r="K280" s="838"/>
      <c r="L280" s="812"/>
      <c r="M280" s="838"/>
      <c r="N280" s="838"/>
      <c r="O280" s="788"/>
    </row>
    <row r="281" spans="3:15" ht="15.75" hidden="1">
      <c r="C281" s="984" t="s">
        <v>188</v>
      </c>
      <c r="D281" s="761"/>
      <c r="E281" s="845" t="s">
        <v>709</v>
      </c>
      <c r="F281" s="817"/>
      <c r="G281" s="817"/>
      <c r="H281" s="817"/>
      <c r="I281" s="817"/>
      <c r="J281" s="815"/>
      <c r="K281" s="768"/>
      <c r="L281" s="769"/>
      <c r="M281" s="768"/>
      <c r="N281" s="768"/>
      <c r="O281" s="788"/>
    </row>
    <row r="282" spans="3:15" ht="15.75" hidden="1">
      <c r="C282" s="766"/>
      <c r="D282" s="761"/>
      <c r="E282" s="851" t="s">
        <v>787</v>
      </c>
      <c r="F282" s="817"/>
      <c r="G282" s="852" t="s">
        <v>1152</v>
      </c>
      <c r="H282" s="853">
        <v>164</v>
      </c>
      <c r="I282" s="817" t="s">
        <v>153</v>
      </c>
      <c r="J282" s="815"/>
      <c r="K282" s="768"/>
      <c r="L282" s="769"/>
      <c r="M282" s="768"/>
      <c r="N282" s="765"/>
      <c r="O282" s="814"/>
    </row>
    <row r="283" spans="3:15" ht="15.75" hidden="1">
      <c r="C283" s="758">
        <f aca="true" t="shared" si="22" ref="C283:C292">C282+1</f>
        <v>1</v>
      </c>
      <c r="D283" s="761"/>
      <c r="E283" s="760" t="s">
        <v>1145</v>
      </c>
      <c r="F283" s="817"/>
      <c r="G283" s="846"/>
      <c r="H283" s="817"/>
      <c r="I283" s="817"/>
      <c r="J283" s="815" t="s">
        <v>134</v>
      </c>
      <c r="K283" s="768"/>
      <c r="L283" s="767">
        <f>ANALISA!$N$12</f>
        <v>13600</v>
      </c>
      <c r="M283" s="768">
        <f aca="true" t="shared" si="23" ref="M283:M292">L283*K283</f>
        <v>0</v>
      </c>
      <c r="N283" s="768"/>
      <c r="O283" s="788"/>
    </row>
    <row r="284" spans="3:15" ht="15.75" hidden="1">
      <c r="C284" s="758">
        <f t="shared" si="22"/>
        <v>2</v>
      </c>
      <c r="D284" s="761"/>
      <c r="E284" s="760" t="s">
        <v>129</v>
      </c>
      <c r="F284" s="817"/>
      <c r="G284" s="846"/>
      <c r="H284" s="817"/>
      <c r="I284" s="817"/>
      <c r="J284" s="815" t="s">
        <v>134</v>
      </c>
      <c r="K284" s="768"/>
      <c r="L284" s="767">
        <f>ANALISA!$N$37</f>
        <v>387900</v>
      </c>
      <c r="M284" s="768">
        <f t="shared" si="23"/>
        <v>0</v>
      </c>
      <c r="N284" s="768"/>
      <c r="O284" s="788"/>
    </row>
    <row r="285" spans="3:15" ht="15.75" hidden="1">
      <c r="C285" s="758">
        <f t="shared" si="22"/>
        <v>3</v>
      </c>
      <c r="D285" s="761"/>
      <c r="E285" s="760" t="s">
        <v>114</v>
      </c>
      <c r="F285" s="817"/>
      <c r="G285" s="846"/>
      <c r="H285" s="817"/>
      <c r="I285" s="817"/>
      <c r="J285" s="815" t="s">
        <v>134</v>
      </c>
      <c r="K285" s="768"/>
      <c r="L285" s="767">
        <f>ANALISA!$N$46</f>
        <v>201120</v>
      </c>
      <c r="M285" s="768">
        <f t="shared" si="23"/>
        <v>0</v>
      </c>
      <c r="N285" s="768"/>
      <c r="O285" s="788"/>
    </row>
    <row r="286" spans="3:15" ht="15.75" hidden="1">
      <c r="C286" s="758">
        <f t="shared" si="22"/>
        <v>4</v>
      </c>
      <c r="D286" s="761"/>
      <c r="E286" s="760" t="s">
        <v>113</v>
      </c>
      <c r="F286" s="817"/>
      <c r="G286" s="846"/>
      <c r="H286" s="817"/>
      <c r="I286" s="817"/>
      <c r="J286" s="815" t="s">
        <v>134</v>
      </c>
      <c r="K286" s="768"/>
      <c r="L286" s="767">
        <f>ANALISA!$N$27</f>
        <v>93400</v>
      </c>
      <c r="M286" s="768">
        <f t="shared" si="23"/>
        <v>0</v>
      </c>
      <c r="N286" s="768"/>
      <c r="O286" s="788"/>
    </row>
    <row r="287" spans="3:15" ht="15.75" hidden="1">
      <c r="C287" s="758">
        <f t="shared" si="22"/>
        <v>5</v>
      </c>
      <c r="D287" s="761"/>
      <c r="E287" s="760" t="s">
        <v>5</v>
      </c>
      <c r="F287" s="817"/>
      <c r="G287" s="846"/>
      <c r="H287" s="817"/>
      <c r="I287" s="817"/>
      <c r="J287" s="815" t="s">
        <v>149</v>
      </c>
      <c r="K287" s="768"/>
      <c r="L287" s="767">
        <f>ANALISA!$N$63</f>
        <v>49538</v>
      </c>
      <c r="M287" s="768">
        <f t="shared" si="23"/>
        <v>0</v>
      </c>
      <c r="N287" s="768"/>
      <c r="O287" s="788"/>
    </row>
    <row r="288" spans="3:15" ht="15.75" hidden="1">
      <c r="C288" s="758">
        <f t="shared" si="22"/>
        <v>6</v>
      </c>
      <c r="D288" s="761"/>
      <c r="E288" s="760" t="s">
        <v>6</v>
      </c>
      <c r="F288" s="817"/>
      <c r="G288" s="846"/>
      <c r="H288" s="817"/>
      <c r="I288" s="817"/>
      <c r="J288" s="815" t="s">
        <v>149</v>
      </c>
      <c r="K288" s="768"/>
      <c r="L288" s="767">
        <f>ANALISA!$N$87</f>
        <v>18569.6</v>
      </c>
      <c r="M288" s="768">
        <f t="shared" si="23"/>
        <v>0</v>
      </c>
      <c r="N288" s="768"/>
      <c r="O288" s="788"/>
    </row>
    <row r="289" spans="3:15" ht="15.75" hidden="1">
      <c r="C289" s="758">
        <f t="shared" si="22"/>
        <v>7</v>
      </c>
      <c r="D289" s="761"/>
      <c r="E289" s="760" t="s">
        <v>286</v>
      </c>
      <c r="F289" s="817"/>
      <c r="G289" s="846"/>
      <c r="H289" s="817"/>
      <c r="I289" s="817"/>
      <c r="J289" s="815" t="s">
        <v>134</v>
      </c>
      <c r="K289" s="768"/>
      <c r="L289" s="767">
        <f>ANALISA!$N$631</f>
        <v>2727535.3333333335</v>
      </c>
      <c r="M289" s="768">
        <f t="shared" si="23"/>
        <v>0</v>
      </c>
      <c r="N289" s="768"/>
      <c r="O289" s="788"/>
    </row>
    <row r="290" spans="3:15" ht="15.75" hidden="1">
      <c r="C290" s="758">
        <f t="shared" si="22"/>
        <v>8</v>
      </c>
      <c r="D290" s="761"/>
      <c r="E290" s="760" t="s">
        <v>29</v>
      </c>
      <c r="F290" s="817"/>
      <c r="G290" s="846"/>
      <c r="H290" s="817"/>
      <c r="I290" s="817"/>
      <c r="J290" s="815" t="s">
        <v>134</v>
      </c>
      <c r="K290" s="768"/>
      <c r="L290" s="767">
        <f>ANALISA!$N$626</f>
        <v>2727535.3333333335</v>
      </c>
      <c r="M290" s="768">
        <f t="shared" si="23"/>
        <v>0</v>
      </c>
      <c r="N290" s="768"/>
      <c r="O290" s="788"/>
    </row>
    <row r="291" spans="3:15" ht="15.75" hidden="1">
      <c r="C291" s="758">
        <f t="shared" si="22"/>
        <v>9</v>
      </c>
      <c r="D291" s="761"/>
      <c r="E291" s="760" t="s">
        <v>193</v>
      </c>
      <c r="F291" s="817"/>
      <c r="G291" s="846"/>
      <c r="H291" s="817"/>
      <c r="I291" s="817"/>
      <c r="J291" s="815" t="s">
        <v>134</v>
      </c>
      <c r="K291" s="768"/>
      <c r="L291" s="767">
        <f>ANALISA!$N$636</f>
        <v>2727535.3333333335</v>
      </c>
      <c r="M291" s="768">
        <f t="shared" si="23"/>
        <v>0</v>
      </c>
      <c r="N291" s="768"/>
      <c r="O291" s="788"/>
    </row>
    <row r="292" spans="3:15" ht="15.75" hidden="1">
      <c r="C292" s="758">
        <f t="shared" si="22"/>
        <v>10</v>
      </c>
      <c r="D292" s="761"/>
      <c r="E292" s="818" t="s">
        <v>1143</v>
      </c>
      <c r="F292" s="817"/>
      <c r="G292" s="803" t="s">
        <v>875</v>
      </c>
      <c r="H292" s="817"/>
      <c r="I292" s="817"/>
      <c r="J292" s="815" t="s">
        <v>149</v>
      </c>
      <c r="K292" s="768"/>
      <c r="L292" s="769">
        <f>ANALISA!$N$441</f>
        <v>8967.4</v>
      </c>
      <c r="M292" s="768">
        <f t="shared" si="23"/>
        <v>0</v>
      </c>
      <c r="N292" s="768"/>
      <c r="O292" s="788"/>
    </row>
    <row r="293" spans="3:15" ht="15.75" hidden="1">
      <c r="C293" s="773"/>
      <c r="D293" s="771"/>
      <c r="E293" s="843"/>
      <c r="F293" s="843"/>
      <c r="G293" s="843"/>
      <c r="H293" s="843"/>
      <c r="I293" s="843"/>
      <c r="J293" s="844"/>
      <c r="K293" s="776"/>
      <c r="L293" s="775"/>
      <c r="M293" s="776"/>
      <c r="N293" s="776"/>
      <c r="O293" s="788"/>
    </row>
    <row r="294" spans="3:15" ht="15.75" hidden="1">
      <c r="C294" s="800"/>
      <c r="D294" s="797"/>
      <c r="E294" s="849"/>
      <c r="F294" s="849"/>
      <c r="G294" s="849"/>
      <c r="H294" s="849"/>
      <c r="I294" s="849"/>
      <c r="J294" s="850"/>
      <c r="K294" s="838"/>
      <c r="L294" s="812"/>
      <c r="M294" s="838"/>
      <c r="N294" s="838"/>
      <c r="O294" s="788"/>
    </row>
    <row r="295" spans="3:15" ht="15.75" hidden="1">
      <c r="C295" s="766"/>
      <c r="D295" s="761"/>
      <c r="E295" s="848" t="s">
        <v>788</v>
      </c>
      <c r="F295" s="854"/>
      <c r="G295" s="855" t="s">
        <v>1081</v>
      </c>
      <c r="H295" s="856">
        <v>45</v>
      </c>
      <c r="I295" s="854" t="s">
        <v>153</v>
      </c>
      <c r="J295" s="815"/>
      <c r="K295" s="768"/>
      <c r="L295" s="769"/>
      <c r="M295" s="768"/>
      <c r="N295" s="765"/>
      <c r="O295" s="814"/>
    </row>
    <row r="296" spans="3:15" ht="15.75" hidden="1">
      <c r="C296" s="758">
        <f aca="true" t="shared" si="24" ref="C296:C305">C295+1</f>
        <v>1</v>
      </c>
      <c r="D296" s="761"/>
      <c r="E296" s="760" t="s">
        <v>1145</v>
      </c>
      <c r="F296" s="817"/>
      <c r="G296" s="846"/>
      <c r="H296" s="817"/>
      <c r="I296" s="817"/>
      <c r="J296" s="815" t="s">
        <v>134</v>
      </c>
      <c r="K296" s="768"/>
      <c r="L296" s="767">
        <f>ANALISA!$N$12</f>
        <v>13600</v>
      </c>
      <c r="M296" s="768">
        <f aca="true" t="shared" si="25" ref="M296:M305">L296*K296</f>
        <v>0</v>
      </c>
      <c r="N296" s="768"/>
      <c r="O296" s="788"/>
    </row>
    <row r="297" spans="3:15" ht="15.75" hidden="1">
      <c r="C297" s="758">
        <f t="shared" si="24"/>
        <v>2</v>
      </c>
      <c r="D297" s="761"/>
      <c r="E297" s="760" t="s">
        <v>129</v>
      </c>
      <c r="F297" s="817"/>
      <c r="G297" s="846"/>
      <c r="H297" s="817"/>
      <c r="I297" s="817"/>
      <c r="J297" s="815" t="s">
        <v>134</v>
      </c>
      <c r="K297" s="768"/>
      <c r="L297" s="767">
        <f>ANALISA!$N$37</f>
        <v>387900</v>
      </c>
      <c r="M297" s="768">
        <f t="shared" si="25"/>
        <v>0</v>
      </c>
      <c r="N297" s="768"/>
      <c r="O297" s="788"/>
    </row>
    <row r="298" spans="3:15" ht="15.75" hidden="1">
      <c r="C298" s="758">
        <f t="shared" si="24"/>
        <v>3</v>
      </c>
      <c r="D298" s="761"/>
      <c r="E298" s="760" t="s">
        <v>114</v>
      </c>
      <c r="F298" s="817"/>
      <c r="G298" s="846"/>
      <c r="H298" s="817"/>
      <c r="I298" s="817"/>
      <c r="J298" s="815" t="s">
        <v>134</v>
      </c>
      <c r="K298" s="768"/>
      <c r="L298" s="767">
        <f>ANALISA!$N$46</f>
        <v>201120</v>
      </c>
      <c r="M298" s="768">
        <f t="shared" si="25"/>
        <v>0</v>
      </c>
      <c r="N298" s="768"/>
      <c r="O298" s="788"/>
    </row>
    <row r="299" spans="3:15" ht="15.75" hidden="1">
      <c r="C299" s="758">
        <f t="shared" si="24"/>
        <v>4</v>
      </c>
      <c r="D299" s="761"/>
      <c r="E299" s="760" t="s">
        <v>113</v>
      </c>
      <c r="F299" s="817"/>
      <c r="G299" s="846"/>
      <c r="H299" s="817"/>
      <c r="I299" s="817"/>
      <c r="J299" s="815" t="s">
        <v>134</v>
      </c>
      <c r="K299" s="768"/>
      <c r="L299" s="767">
        <f>ANALISA!$N$27</f>
        <v>93400</v>
      </c>
      <c r="M299" s="768">
        <f t="shared" si="25"/>
        <v>0</v>
      </c>
      <c r="N299" s="768"/>
      <c r="O299" s="788"/>
    </row>
    <row r="300" spans="3:15" ht="15.75" hidden="1">
      <c r="C300" s="758">
        <f t="shared" si="24"/>
        <v>5</v>
      </c>
      <c r="D300" s="761"/>
      <c r="E300" s="760" t="s">
        <v>5</v>
      </c>
      <c r="F300" s="817"/>
      <c r="G300" s="846"/>
      <c r="H300" s="817"/>
      <c r="I300" s="817"/>
      <c r="J300" s="815" t="s">
        <v>149</v>
      </c>
      <c r="K300" s="768"/>
      <c r="L300" s="767">
        <f>ANALISA!$N$63</f>
        <v>49538</v>
      </c>
      <c r="M300" s="768">
        <f t="shared" si="25"/>
        <v>0</v>
      </c>
      <c r="N300" s="768"/>
      <c r="O300" s="788"/>
    </row>
    <row r="301" spans="3:15" ht="15.75" hidden="1">
      <c r="C301" s="758">
        <f t="shared" si="24"/>
        <v>6</v>
      </c>
      <c r="D301" s="761"/>
      <c r="E301" s="760" t="s">
        <v>6</v>
      </c>
      <c r="F301" s="817"/>
      <c r="G301" s="846"/>
      <c r="H301" s="817"/>
      <c r="I301" s="817"/>
      <c r="J301" s="815" t="s">
        <v>149</v>
      </c>
      <c r="K301" s="768"/>
      <c r="L301" s="767">
        <f>ANALISA!$N$87</f>
        <v>18569.6</v>
      </c>
      <c r="M301" s="768">
        <f t="shared" si="25"/>
        <v>0</v>
      </c>
      <c r="N301" s="768"/>
      <c r="O301" s="788"/>
    </row>
    <row r="302" spans="3:15" ht="15.75" hidden="1">
      <c r="C302" s="758">
        <f t="shared" si="24"/>
        <v>7</v>
      </c>
      <c r="D302" s="761"/>
      <c r="E302" s="760" t="s">
        <v>286</v>
      </c>
      <c r="F302" s="817"/>
      <c r="G302" s="846"/>
      <c r="H302" s="817"/>
      <c r="I302" s="817"/>
      <c r="J302" s="815" t="s">
        <v>134</v>
      </c>
      <c r="K302" s="768"/>
      <c r="L302" s="767">
        <f>ANALISA!$N$631</f>
        <v>2727535.3333333335</v>
      </c>
      <c r="M302" s="768">
        <f t="shared" si="25"/>
        <v>0</v>
      </c>
      <c r="N302" s="768"/>
      <c r="O302" s="788"/>
    </row>
    <row r="303" spans="3:15" ht="15.75" hidden="1">
      <c r="C303" s="758">
        <f t="shared" si="24"/>
        <v>8</v>
      </c>
      <c r="D303" s="761"/>
      <c r="E303" s="760" t="s">
        <v>29</v>
      </c>
      <c r="F303" s="817"/>
      <c r="G303" s="846"/>
      <c r="H303" s="817"/>
      <c r="I303" s="817"/>
      <c r="J303" s="815" t="s">
        <v>134</v>
      </c>
      <c r="K303" s="768"/>
      <c r="L303" s="767">
        <f>ANALISA!$N$626</f>
        <v>2727535.3333333335</v>
      </c>
      <c r="M303" s="768">
        <f t="shared" si="25"/>
        <v>0</v>
      </c>
      <c r="N303" s="768"/>
      <c r="O303" s="788"/>
    </row>
    <row r="304" spans="3:15" ht="15.75" hidden="1">
      <c r="C304" s="758">
        <f t="shared" si="24"/>
        <v>9</v>
      </c>
      <c r="D304" s="761"/>
      <c r="E304" s="760" t="s">
        <v>193</v>
      </c>
      <c r="F304" s="817"/>
      <c r="G304" s="846"/>
      <c r="H304" s="817"/>
      <c r="I304" s="817"/>
      <c r="J304" s="815" t="s">
        <v>134</v>
      </c>
      <c r="K304" s="768"/>
      <c r="L304" s="767">
        <f>ANALISA!$N$636</f>
        <v>2727535.3333333335</v>
      </c>
      <c r="M304" s="768">
        <f t="shared" si="25"/>
        <v>0</v>
      </c>
      <c r="N304" s="768"/>
      <c r="O304" s="788"/>
    </row>
    <row r="305" spans="3:15" ht="15.75" hidden="1">
      <c r="C305" s="758">
        <f t="shared" si="24"/>
        <v>10</v>
      </c>
      <c r="D305" s="761"/>
      <c r="E305" s="818" t="s">
        <v>1143</v>
      </c>
      <c r="F305" s="817"/>
      <c r="G305" s="803" t="s">
        <v>875</v>
      </c>
      <c r="H305" s="817"/>
      <c r="I305" s="817"/>
      <c r="J305" s="815" t="s">
        <v>149</v>
      </c>
      <c r="K305" s="768"/>
      <c r="L305" s="769">
        <f>ANALISA!$N$441</f>
        <v>8967.4</v>
      </c>
      <c r="M305" s="768">
        <f t="shared" si="25"/>
        <v>0</v>
      </c>
      <c r="N305" s="768"/>
      <c r="O305" s="788"/>
    </row>
    <row r="306" spans="3:15" ht="15.75" hidden="1">
      <c r="C306" s="773"/>
      <c r="D306" s="771"/>
      <c r="E306" s="843"/>
      <c r="F306" s="843"/>
      <c r="G306" s="843"/>
      <c r="H306" s="843"/>
      <c r="I306" s="843"/>
      <c r="J306" s="844"/>
      <c r="K306" s="776"/>
      <c r="L306" s="775"/>
      <c r="M306" s="776"/>
      <c r="N306" s="776"/>
      <c r="O306" s="788"/>
    </row>
    <row r="307" spans="3:15" ht="15.75" hidden="1">
      <c r="C307" s="857"/>
      <c r="D307" s="849"/>
      <c r="E307" s="849"/>
      <c r="F307" s="849"/>
      <c r="G307" s="849"/>
      <c r="H307" s="849"/>
      <c r="I307" s="849"/>
      <c r="J307" s="1005" t="s">
        <v>722</v>
      </c>
      <c r="K307" s="849"/>
      <c r="L307" s="1006"/>
      <c r="M307" s="1007"/>
      <c r="N307" s="858"/>
      <c r="O307" s="1030"/>
    </row>
    <row r="308" spans="3:15" ht="3.75" customHeight="1">
      <c r="C308" s="773"/>
      <c r="D308" s="843"/>
      <c r="E308" s="843"/>
      <c r="F308" s="843"/>
      <c r="G308" s="843"/>
      <c r="H308" s="843"/>
      <c r="I308" s="843"/>
      <c r="J308" s="844"/>
      <c r="K308" s="776"/>
      <c r="L308" s="775"/>
      <c r="M308" s="776"/>
      <c r="N308" s="776"/>
      <c r="O308" s="788"/>
    </row>
    <row r="309" spans="3:15" ht="15.75" hidden="1">
      <c r="C309" s="766"/>
      <c r="D309" s="761"/>
      <c r="E309" s="817"/>
      <c r="F309" s="817"/>
      <c r="G309" s="817"/>
      <c r="H309" s="817"/>
      <c r="I309" s="817"/>
      <c r="J309" s="815"/>
      <c r="K309" s="768"/>
      <c r="L309" s="769"/>
      <c r="M309" s="768"/>
      <c r="N309" s="768"/>
      <c r="O309" s="788"/>
    </row>
    <row r="310" spans="3:15" ht="15.75" hidden="1">
      <c r="C310" s="977" t="s">
        <v>503</v>
      </c>
      <c r="D310" s="980"/>
      <c r="E310" s="979" t="s">
        <v>623</v>
      </c>
      <c r="F310" s="817"/>
      <c r="G310" s="817"/>
      <c r="H310" s="817"/>
      <c r="I310" s="817"/>
      <c r="J310" s="815"/>
      <c r="K310" s="768"/>
      <c r="L310" s="769"/>
      <c r="M310" s="768"/>
      <c r="N310" s="765"/>
      <c r="O310" s="814"/>
    </row>
    <row r="311" spans="3:15" ht="4.5" customHeight="1" hidden="1">
      <c r="C311" s="766"/>
      <c r="D311" s="761"/>
      <c r="E311" s="817"/>
      <c r="F311" s="817"/>
      <c r="G311" s="817"/>
      <c r="H311" s="817"/>
      <c r="I311" s="817"/>
      <c r="J311" s="815"/>
      <c r="K311" s="768"/>
      <c r="L311" s="769"/>
      <c r="M311" s="768"/>
      <c r="N311" s="765"/>
      <c r="O311" s="814"/>
    </row>
    <row r="312" spans="3:15" ht="15.75" hidden="1">
      <c r="C312" s="984" t="s">
        <v>261</v>
      </c>
      <c r="D312" s="761"/>
      <c r="E312" s="845" t="s">
        <v>624</v>
      </c>
      <c r="F312" s="817"/>
      <c r="G312" s="817"/>
      <c r="H312" s="817"/>
      <c r="I312" s="817"/>
      <c r="J312" s="815"/>
      <c r="K312" s="768"/>
      <c r="L312" s="769"/>
      <c r="M312" s="768"/>
      <c r="N312" s="765"/>
      <c r="O312" s="814"/>
    </row>
    <row r="313" spans="3:15" ht="15.75" hidden="1">
      <c r="C313" s="766"/>
      <c r="D313" s="761"/>
      <c r="E313" s="845" t="s">
        <v>673</v>
      </c>
      <c r="F313" s="817"/>
      <c r="G313" s="817"/>
      <c r="H313" s="853">
        <f>5+19.2+5</f>
        <v>29.2</v>
      </c>
      <c r="I313" s="817" t="s">
        <v>153</v>
      </c>
      <c r="J313" s="815"/>
      <c r="K313" s="768"/>
      <c r="L313" s="769"/>
      <c r="M313" s="768"/>
      <c r="N313" s="765"/>
      <c r="O313" s="814"/>
    </row>
    <row r="314" spans="3:15" ht="15.75" hidden="1">
      <c r="C314" s="766">
        <f>C313+1</f>
        <v>1</v>
      </c>
      <c r="D314" s="761"/>
      <c r="E314" s="760" t="s">
        <v>217</v>
      </c>
      <c r="F314" s="817"/>
      <c r="G314" s="817"/>
      <c r="H314" s="817"/>
      <c r="I314" s="817"/>
      <c r="J314" s="815" t="s">
        <v>134</v>
      </c>
      <c r="K314" s="768"/>
      <c r="L314" s="767">
        <f>ANALISA!$N$12</f>
        <v>13600</v>
      </c>
      <c r="M314" s="768">
        <f>L314*K314</f>
        <v>0</v>
      </c>
      <c r="N314" s="765"/>
      <c r="O314" s="814"/>
    </row>
    <row r="315" spans="3:15" ht="15.75" hidden="1">
      <c r="C315" s="766">
        <f>C314+1</f>
        <v>2</v>
      </c>
      <c r="D315" s="761"/>
      <c r="E315" s="760" t="s">
        <v>111</v>
      </c>
      <c r="F315" s="817"/>
      <c r="G315" s="817"/>
      <c r="H315" s="817"/>
      <c r="I315" s="817"/>
      <c r="J315" s="815" t="s">
        <v>134</v>
      </c>
      <c r="K315" s="768"/>
      <c r="L315" s="767">
        <f>ANALISA!$N$20</f>
        <v>6800</v>
      </c>
      <c r="M315" s="768">
        <f>L315*K315</f>
        <v>0</v>
      </c>
      <c r="N315" s="765"/>
      <c r="O315" s="814"/>
    </row>
    <row r="316" spans="3:15" ht="15.75" hidden="1">
      <c r="C316" s="766">
        <f>C315+1</f>
        <v>3</v>
      </c>
      <c r="D316" s="761"/>
      <c r="E316" s="760" t="s">
        <v>113</v>
      </c>
      <c r="F316" s="817"/>
      <c r="G316" s="817"/>
      <c r="H316" s="817"/>
      <c r="I316" s="817"/>
      <c r="J316" s="815" t="s">
        <v>134</v>
      </c>
      <c r="K316" s="768"/>
      <c r="L316" s="767">
        <f>ANALISA!$N$27</f>
        <v>93400</v>
      </c>
      <c r="M316" s="768">
        <f>L316*K316</f>
        <v>0</v>
      </c>
      <c r="N316" s="765"/>
      <c r="O316" s="814"/>
    </row>
    <row r="317" spans="3:15" ht="15.75" hidden="1">
      <c r="C317" s="766">
        <f>C316+1</f>
        <v>4</v>
      </c>
      <c r="D317" s="761"/>
      <c r="E317" s="760" t="s">
        <v>129</v>
      </c>
      <c r="F317" s="817"/>
      <c r="G317" s="817"/>
      <c r="H317" s="817"/>
      <c r="I317" s="817"/>
      <c r="J317" s="815" t="s">
        <v>134</v>
      </c>
      <c r="K317" s="768"/>
      <c r="L317" s="767">
        <f>ANALISA!$N$37</f>
        <v>387900</v>
      </c>
      <c r="M317" s="768">
        <f>L317*K317</f>
        <v>0</v>
      </c>
      <c r="N317" s="765"/>
      <c r="O317" s="814"/>
    </row>
    <row r="318" spans="3:15" ht="15.75" hidden="1">
      <c r="C318" s="766">
        <f>C317+1</f>
        <v>5</v>
      </c>
      <c r="D318" s="761"/>
      <c r="E318" s="760" t="s">
        <v>1082</v>
      </c>
      <c r="F318" s="817"/>
      <c r="G318" s="817"/>
      <c r="H318" s="817"/>
      <c r="I318" s="817"/>
      <c r="J318" s="815" t="s">
        <v>149</v>
      </c>
      <c r="K318" s="768"/>
      <c r="L318" s="767">
        <f>ANALISA!$N$71*0.67</f>
        <v>14242.86</v>
      </c>
      <c r="M318" s="768">
        <f>L318*K318</f>
        <v>0</v>
      </c>
      <c r="N318" s="765"/>
      <c r="O318" s="814"/>
    </row>
    <row r="319" spans="3:15" ht="4.5" customHeight="1" hidden="1">
      <c r="C319" s="766"/>
      <c r="D319" s="761"/>
      <c r="E319" s="817"/>
      <c r="F319" s="817"/>
      <c r="G319" s="845"/>
      <c r="H319" s="817"/>
      <c r="I319" s="817"/>
      <c r="J319" s="841"/>
      <c r="K319" s="841"/>
      <c r="L319" s="841"/>
      <c r="M319" s="841"/>
      <c r="N319" s="841"/>
      <c r="O319" s="854"/>
    </row>
    <row r="320" spans="3:15" ht="4.5" customHeight="1" hidden="1">
      <c r="C320" s="766"/>
      <c r="D320" s="761"/>
      <c r="E320" s="817"/>
      <c r="F320" s="817"/>
      <c r="G320" s="817"/>
      <c r="H320" s="817"/>
      <c r="I320" s="817"/>
      <c r="J320" s="815"/>
      <c r="K320" s="768"/>
      <c r="L320" s="769"/>
      <c r="M320" s="768"/>
      <c r="N320" s="765"/>
      <c r="O320" s="814"/>
    </row>
    <row r="321" spans="3:15" ht="15.75" hidden="1">
      <c r="C321" s="766"/>
      <c r="D321" s="761"/>
      <c r="E321" s="845" t="s">
        <v>674</v>
      </c>
      <c r="F321" s="817"/>
      <c r="G321" s="817"/>
      <c r="H321" s="853">
        <f>6+6</f>
        <v>12</v>
      </c>
      <c r="I321" s="817" t="s">
        <v>153</v>
      </c>
      <c r="J321" s="815"/>
      <c r="K321" s="768"/>
      <c r="L321" s="769"/>
      <c r="M321" s="768"/>
      <c r="N321" s="765"/>
      <c r="O321" s="814"/>
    </row>
    <row r="322" spans="3:15" ht="15.75" hidden="1">
      <c r="C322" s="766">
        <f>C321+1</f>
        <v>1</v>
      </c>
      <c r="D322" s="761"/>
      <c r="E322" s="760" t="s">
        <v>217</v>
      </c>
      <c r="F322" s="817"/>
      <c r="G322" s="817"/>
      <c r="H322" s="817"/>
      <c r="I322" s="817"/>
      <c r="J322" s="815" t="s">
        <v>134</v>
      </c>
      <c r="K322" s="768"/>
      <c r="L322" s="767">
        <f>ANALISA!$N$12</f>
        <v>13600</v>
      </c>
      <c r="M322" s="768">
        <f>L322*K322</f>
        <v>0</v>
      </c>
      <c r="N322" s="765"/>
      <c r="O322" s="814"/>
    </row>
    <row r="323" spans="3:15" ht="15.75" hidden="1">
      <c r="C323" s="766">
        <f>C322+1</f>
        <v>2</v>
      </c>
      <c r="D323" s="761"/>
      <c r="E323" s="760" t="s">
        <v>111</v>
      </c>
      <c r="F323" s="817"/>
      <c r="G323" s="817"/>
      <c r="H323" s="817"/>
      <c r="I323" s="817"/>
      <c r="J323" s="815" t="s">
        <v>134</v>
      </c>
      <c r="K323" s="768"/>
      <c r="L323" s="767">
        <f>ANALISA!$N$20</f>
        <v>6800</v>
      </c>
      <c r="M323" s="768">
        <f>L323*K323</f>
        <v>0</v>
      </c>
      <c r="N323" s="841"/>
      <c r="O323" s="854"/>
    </row>
    <row r="324" spans="3:15" ht="15.75" hidden="1">
      <c r="C324" s="766">
        <f>C323+1</f>
        <v>3</v>
      </c>
      <c r="D324" s="761"/>
      <c r="E324" s="760" t="s">
        <v>113</v>
      </c>
      <c r="F324" s="817"/>
      <c r="G324" s="817"/>
      <c r="H324" s="817"/>
      <c r="I324" s="817"/>
      <c r="J324" s="815" t="s">
        <v>134</v>
      </c>
      <c r="K324" s="768"/>
      <c r="L324" s="767">
        <f>ANALISA!$N$27</f>
        <v>93400</v>
      </c>
      <c r="M324" s="768">
        <f>L324*K324</f>
        <v>0</v>
      </c>
      <c r="N324" s="765"/>
      <c r="O324" s="814"/>
    </row>
    <row r="325" spans="3:15" ht="15.75" hidden="1">
      <c r="C325" s="766">
        <f>C324+1</f>
        <v>4</v>
      </c>
      <c r="D325" s="761"/>
      <c r="E325" s="760" t="s">
        <v>129</v>
      </c>
      <c r="F325" s="817"/>
      <c r="G325" s="817"/>
      <c r="H325" s="817"/>
      <c r="I325" s="817"/>
      <c r="J325" s="815" t="s">
        <v>134</v>
      </c>
      <c r="K325" s="768"/>
      <c r="L325" s="767">
        <f>ANALISA!$N$37</f>
        <v>387900</v>
      </c>
      <c r="M325" s="768">
        <f>L325*K325</f>
        <v>0</v>
      </c>
      <c r="N325" s="765"/>
      <c r="O325" s="814"/>
    </row>
    <row r="326" spans="3:15" ht="15.75" hidden="1">
      <c r="C326" s="766">
        <f>C325+1</f>
        <v>5</v>
      </c>
      <c r="D326" s="761"/>
      <c r="E326" s="760" t="s">
        <v>1082</v>
      </c>
      <c r="F326" s="817"/>
      <c r="G326" s="817"/>
      <c r="H326" s="817"/>
      <c r="I326" s="817"/>
      <c r="J326" s="815" t="s">
        <v>149</v>
      </c>
      <c r="K326" s="768"/>
      <c r="L326" s="767">
        <f>ANALISA!$N$71*0.67</f>
        <v>14242.86</v>
      </c>
      <c r="M326" s="768">
        <f>L326*K326</f>
        <v>0</v>
      </c>
      <c r="N326" s="765"/>
      <c r="O326" s="814"/>
    </row>
    <row r="327" spans="3:15" ht="8.25" customHeight="1" hidden="1">
      <c r="C327" s="766"/>
      <c r="D327" s="761"/>
      <c r="E327" s="845"/>
      <c r="F327" s="817"/>
      <c r="G327" s="845"/>
      <c r="H327" s="817"/>
      <c r="I327" s="817"/>
      <c r="J327" s="815"/>
      <c r="K327" s="768"/>
      <c r="L327" s="769"/>
      <c r="M327" s="768"/>
      <c r="N327" s="765"/>
      <c r="O327" s="814"/>
    </row>
    <row r="328" spans="3:15" ht="15.75" hidden="1">
      <c r="C328" s="762"/>
      <c r="D328" s="761"/>
      <c r="E328" s="845" t="s">
        <v>670</v>
      </c>
      <c r="F328" s="817"/>
      <c r="G328" s="845"/>
      <c r="H328" s="817"/>
      <c r="I328" s="817"/>
      <c r="J328" s="815"/>
      <c r="K328" s="768"/>
      <c r="L328" s="769"/>
      <c r="M328" s="768"/>
      <c r="N328" s="841"/>
      <c r="O328" s="854"/>
    </row>
    <row r="329" spans="3:15" ht="15.75" hidden="1">
      <c r="C329" s="766"/>
      <c r="D329" s="761"/>
      <c r="E329" s="760" t="s">
        <v>121</v>
      </c>
      <c r="F329" s="817"/>
      <c r="G329" s="817" t="s">
        <v>786</v>
      </c>
      <c r="H329" s="817"/>
      <c r="I329" s="817"/>
      <c r="J329" s="815"/>
      <c r="K329" s="768"/>
      <c r="L329" s="767"/>
      <c r="M329" s="768"/>
      <c r="N329" s="765"/>
      <c r="O329" s="814"/>
    </row>
    <row r="330" spans="3:15" ht="3" customHeight="1" hidden="1">
      <c r="C330" s="766"/>
      <c r="D330" s="761"/>
      <c r="E330" s="760"/>
      <c r="F330" s="817"/>
      <c r="G330" s="817"/>
      <c r="H330" s="817"/>
      <c r="I330" s="817"/>
      <c r="J330" s="815"/>
      <c r="K330" s="768"/>
      <c r="L330" s="769"/>
      <c r="M330" s="768"/>
      <c r="N330" s="765"/>
      <c r="O330" s="814"/>
    </row>
    <row r="331" spans="3:15" ht="15.75" hidden="1">
      <c r="C331" s="766"/>
      <c r="D331" s="761"/>
      <c r="E331" s="817" t="s">
        <v>625</v>
      </c>
      <c r="F331" s="817" t="s">
        <v>671</v>
      </c>
      <c r="G331" s="817"/>
      <c r="H331" s="817"/>
      <c r="I331" s="817"/>
      <c r="J331" s="815" t="s">
        <v>134</v>
      </c>
      <c r="K331" s="768"/>
      <c r="L331" s="769">
        <f>ANALISA!$N$679</f>
        <v>3127538</v>
      </c>
      <c r="M331" s="768">
        <f>L331*K331</f>
        <v>0</v>
      </c>
      <c r="N331" s="765"/>
      <c r="O331" s="814"/>
    </row>
    <row r="332" spans="3:15" ht="15.75" hidden="1">
      <c r="C332" s="766"/>
      <c r="D332" s="761"/>
      <c r="E332" s="817" t="s">
        <v>625</v>
      </c>
      <c r="F332" s="817" t="s">
        <v>672</v>
      </c>
      <c r="G332" s="817"/>
      <c r="H332" s="817"/>
      <c r="I332" s="817"/>
      <c r="J332" s="815" t="s">
        <v>134</v>
      </c>
      <c r="K332" s="768"/>
      <c r="L332" s="769">
        <f>ANALISA!$N$679</f>
        <v>3127538</v>
      </c>
      <c r="M332" s="768">
        <f>L332*K332</f>
        <v>0</v>
      </c>
      <c r="N332" s="841"/>
      <c r="O332" s="854"/>
    </row>
    <row r="333" spans="3:15" ht="5.25" customHeight="1" hidden="1">
      <c r="C333" s="766"/>
      <c r="D333" s="761"/>
      <c r="E333" s="817"/>
      <c r="F333" s="817"/>
      <c r="G333" s="817"/>
      <c r="H333" s="817"/>
      <c r="I333" s="817"/>
      <c r="J333" s="815"/>
      <c r="K333" s="768"/>
      <c r="L333" s="769"/>
      <c r="M333" s="768"/>
      <c r="N333" s="765"/>
      <c r="O333" s="814"/>
    </row>
    <row r="334" spans="3:15" ht="15.75" hidden="1">
      <c r="C334" s="762"/>
      <c r="D334" s="761"/>
      <c r="E334" s="845" t="s">
        <v>1120</v>
      </c>
      <c r="F334" s="817"/>
      <c r="G334" s="817"/>
      <c r="H334" s="817"/>
      <c r="I334" s="817"/>
      <c r="J334" s="815" t="s">
        <v>153</v>
      </c>
      <c r="K334" s="768"/>
      <c r="L334" s="769">
        <f>1.6*400000</f>
        <v>640000</v>
      </c>
      <c r="M334" s="768">
        <f>L334*K334</f>
        <v>0</v>
      </c>
      <c r="N334" s="765"/>
      <c r="O334" s="814"/>
    </row>
    <row r="335" spans="3:15" ht="15.75" hidden="1">
      <c r="C335" s="773"/>
      <c r="D335" s="771"/>
      <c r="E335" s="843"/>
      <c r="F335" s="843"/>
      <c r="G335" s="843"/>
      <c r="H335" s="843"/>
      <c r="I335" s="843"/>
      <c r="J335" s="844"/>
      <c r="K335" s="776"/>
      <c r="L335" s="775"/>
      <c r="M335" s="776"/>
      <c r="N335" s="779"/>
      <c r="O335" s="814"/>
    </row>
    <row r="336" spans="3:15" s="613" customFormat="1" ht="15" hidden="1">
      <c r="C336" s="800"/>
      <c r="D336" s="797"/>
      <c r="E336" s="797"/>
      <c r="F336" s="797"/>
      <c r="G336" s="797"/>
      <c r="H336" s="797"/>
      <c r="I336" s="797"/>
      <c r="J336" s="850"/>
      <c r="K336" s="838"/>
      <c r="L336" s="801"/>
      <c r="M336" s="838"/>
      <c r="N336" s="842"/>
      <c r="O336" s="814"/>
    </row>
    <row r="337" spans="3:15" s="613" customFormat="1" ht="15" hidden="1">
      <c r="C337" s="984" t="s">
        <v>262</v>
      </c>
      <c r="D337" s="761"/>
      <c r="E337" s="859" t="s">
        <v>675</v>
      </c>
      <c r="F337" s="860"/>
      <c r="G337" s="860"/>
      <c r="H337" s="860"/>
      <c r="I337" s="860"/>
      <c r="J337" s="815"/>
      <c r="K337" s="768"/>
      <c r="L337" s="767"/>
      <c r="M337" s="768"/>
      <c r="N337" s="765"/>
      <c r="O337" s="814"/>
    </row>
    <row r="338" spans="3:15" s="613" customFormat="1" ht="15" hidden="1">
      <c r="C338" s="766"/>
      <c r="D338" s="761"/>
      <c r="E338" s="859" t="s">
        <v>677</v>
      </c>
      <c r="F338" s="860"/>
      <c r="G338" s="861">
        <f>volume!J1126</f>
        <v>3480.8457000000003</v>
      </c>
      <c r="H338" s="860" t="s">
        <v>149</v>
      </c>
      <c r="I338" s="860"/>
      <c r="J338" s="815"/>
      <c r="K338" s="768"/>
      <c r="L338" s="767"/>
      <c r="M338" s="768"/>
      <c r="N338" s="765">
        <f>SUM(M339:M340)</f>
        <v>0</v>
      </c>
      <c r="O338" s="814"/>
    </row>
    <row r="339" spans="3:15" s="613" customFormat="1" ht="15" hidden="1">
      <c r="C339" s="758">
        <v>1</v>
      </c>
      <c r="D339" s="761"/>
      <c r="E339" s="760" t="s">
        <v>1046</v>
      </c>
      <c r="F339" s="860"/>
      <c r="G339" s="860"/>
      <c r="H339" s="861"/>
      <c r="I339" s="860"/>
      <c r="J339" s="815" t="s">
        <v>134</v>
      </c>
      <c r="K339" s="768"/>
      <c r="L339" s="767">
        <f>ANALISA!$N$22</f>
        <v>49900</v>
      </c>
      <c r="M339" s="768">
        <f>L339*K339</f>
        <v>0</v>
      </c>
      <c r="N339" s="765"/>
      <c r="O339" s="814"/>
    </row>
    <row r="340" spans="3:15" s="613" customFormat="1" ht="14.25" hidden="1">
      <c r="C340" s="758">
        <f>C339+1</f>
        <v>2</v>
      </c>
      <c r="D340" s="761"/>
      <c r="E340" s="760" t="s">
        <v>1083</v>
      </c>
      <c r="F340" s="860"/>
      <c r="G340" s="860"/>
      <c r="H340" s="861"/>
      <c r="I340" s="860" t="s">
        <v>153</v>
      </c>
      <c r="J340" s="815" t="s">
        <v>134</v>
      </c>
      <c r="K340" s="768"/>
      <c r="L340" s="767">
        <f>ANALISA!$N$22</f>
        <v>49900</v>
      </c>
      <c r="M340" s="768">
        <f>L340*K340</f>
        <v>0</v>
      </c>
      <c r="N340" s="862"/>
      <c r="O340" s="761"/>
    </row>
    <row r="341" spans="3:15" s="613" customFormat="1" ht="6" customHeight="1" hidden="1">
      <c r="C341" s="758"/>
      <c r="D341" s="761"/>
      <c r="E341" s="760"/>
      <c r="F341" s="860"/>
      <c r="G341" s="860"/>
      <c r="H341" s="861"/>
      <c r="I341" s="860"/>
      <c r="J341" s="815"/>
      <c r="K341" s="768"/>
      <c r="L341" s="767"/>
      <c r="M341" s="768"/>
      <c r="N341" s="765"/>
      <c r="O341" s="814"/>
    </row>
    <row r="342" spans="3:15" s="613" customFormat="1" ht="6.75" customHeight="1" hidden="1">
      <c r="C342" s="773"/>
      <c r="D342" s="771"/>
      <c r="E342" s="771"/>
      <c r="F342" s="771"/>
      <c r="G342" s="771"/>
      <c r="H342" s="863"/>
      <c r="I342" s="771"/>
      <c r="J342" s="844"/>
      <c r="K342" s="776"/>
      <c r="L342" s="774"/>
      <c r="M342" s="776"/>
      <c r="N342" s="779"/>
      <c r="O342" s="814"/>
    </row>
    <row r="343" spans="3:15" ht="15.75" hidden="1">
      <c r="C343" s="800"/>
      <c r="D343" s="797"/>
      <c r="E343" s="849"/>
      <c r="F343" s="849"/>
      <c r="G343" s="849"/>
      <c r="H343" s="864"/>
      <c r="I343" s="849"/>
      <c r="J343" s="850"/>
      <c r="K343" s="838"/>
      <c r="L343" s="812"/>
      <c r="M343" s="838"/>
      <c r="N343" s="842"/>
      <c r="O343" s="814"/>
    </row>
    <row r="344" spans="3:15" ht="15.75" hidden="1">
      <c r="C344" s="984" t="s">
        <v>263</v>
      </c>
      <c r="D344" s="759"/>
      <c r="E344" s="845" t="s">
        <v>678</v>
      </c>
      <c r="F344" s="817"/>
      <c r="G344" s="817"/>
      <c r="H344" s="817"/>
      <c r="I344" s="817"/>
      <c r="J344" s="815"/>
      <c r="K344" s="768"/>
      <c r="L344" s="769"/>
      <c r="M344" s="768"/>
      <c r="N344" s="765"/>
      <c r="O344" s="814"/>
    </row>
    <row r="345" spans="3:15" ht="15.75" hidden="1">
      <c r="C345" s="766">
        <v>1</v>
      </c>
      <c r="D345" s="761"/>
      <c r="E345" s="817" t="s">
        <v>1104</v>
      </c>
      <c r="F345" s="817"/>
      <c r="G345" s="845"/>
      <c r="H345" s="817" t="s">
        <v>1101</v>
      </c>
      <c r="I345" s="817"/>
      <c r="J345" s="815" t="s">
        <v>149</v>
      </c>
      <c r="K345" s="768"/>
      <c r="L345" s="769">
        <f>ANALISA!$N$483</f>
        <v>74530</v>
      </c>
      <c r="M345" s="768">
        <f aca="true" t="shared" si="26" ref="M345:M350">L345*K345</f>
        <v>0</v>
      </c>
      <c r="N345" s="765"/>
      <c r="O345" s="814"/>
    </row>
    <row r="346" spans="3:15" ht="15.75" hidden="1">
      <c r="C346" s="766">
        <v>2</v>
      </c>
      <c r="D346" s="761"/>
      <c r="E346" s="817" t="s">
        <v>1105</v>
      </c>
      <c r="F346" s="817"/>
      <c r="G346" s="817"/>
      <c r="H346" s="817" t="s">
        <v>1101</v>
      </c>
      <c r="I346" s="817"/>
      <c r="J346" s="815" t="s">
        <v>149</v>
      </c>
      <c r="K346" s="768"/>
      <c r="L346" s="769">
        <f>ANALISA!$N$483</f>
        <v>74530</v>
      </c>
      <c r="M346" s="768">
        <f t="shared" si="26"/>
        <v>0</v>
      </c>
      <c r="N346" s="765"/>
      <c r="O346" s="814"/>
    </row>
    <row r="347" spans="3:15" ht="15.75" hidden="1">
      <c r="C347" s="766">
        <v>3</v>
      </c>
      <c r="D347" s="761"/>
      <c r="E347" s="817" t="s">
        <v>1109</v>
      </c>
      <c r="F347" s="817"/>
      <c r="G347" s="845"/>
      <c r="H347" s="817"/>
      <c r="I347" s="817"/>
      <c r="J347" s="815" t="s">
        <v>149</v>
      </c>
      <c r="K347" s="768"/>
      <c r="L347" s="769">
        <v>20000</v>
      </c>
      <c r="M347" s="768">
        <f t="shared" si="26"/>
        <v>0</v>
      </c>
      <c r="N347" s="765"/>
      <c r="O347" s="814"/>
    </row>
    <row r="348" spans="3:15" ht="15.75" hidden="1">
      <c r="C348" s="766">
        <v>4</v>
      </c>
      <c r="D348" s="761"/>
      <c r="E348" s="817" t="s">
        <v>1159</v>
      </c>
      <c r="F348" s="817"/>
      <c r="G348" s="817"/>
      <c r="H348" s="853">
        <v>0.08</v>
      </c>
      <c r="I348" s="817" t="s">
        <v>153</v>
      </c>
      <c r="J348" s="815" t="s">
        <v>149</v>
      </c>
      <c r="K348" s="768"/>
      <c r="L348" s="769">
        <f>ANALISA!N105*RAB!H348</f>
        <v>37396</v>
      </c>
      <c r="M348" s="768">
        <f t="shared" si="26"/>
        <v>0</v>
      </c>
      <c r="N348" s="765"/>
      <c r="O348" s="814"/>
    </row>
    <row r="349" spans="3:15" ht="15.75" hidden="1">
      <c r="C349" s="766">
        <v>5</v>
      </c>
      <c r="D349" s="761"/>
      <c r="E349" s="760" t="s">
        <v>686</v>
      </c>
      <c r="F349" s="760"/>
      <c r="G349" s="817"/>
      <c r="H349" s="817"/>
      <c r="I349" s="817"/>
      <c r="J349" s="815" t="s">
        <v>153</v>
      </c>
      <c r="K349" s="768"/>
      <c r="L349" s="767">
        <f>(Bhn!I160*2)+15000</f>
        <v>31654</v>
      </c>
      <c r="M349" s="768">
        <f t="shared" si="26"/>
        <v>0</v>
      </c>
      <c r="N349" s="841"/>
      <c r="O349" s="854"/>
    </row>
    <row r="350" spans="3:15" ht="15.75" hidden="1">
      <c r="C350" s="766">
        <v>6</v>
      </c>
      <c r="D350" s="761"/>
      <c r="E350" s="760" t="s">
        <v>1103</v>
      </c>
      <c r="F350" s="760"/>
      <c r="G350" s="817"/>
      <c r="H350" s="817"/>
      <c r="I350" s="817"/>
      <c r="J350" s="815" t="s">
        <v>159</v>
      </c>
      <c r="K350" s="768"/>
      <c r="L350" s="767">
        <v>5000000</v>
      </c>
      <c r="M350" s="768">
        <f t="shared" si="26"/>
        <v>0</v>
      </c>
      <c r="N350" s="841"/>
      <c r="O350" s="854"/>
    </row>
    <row r="351" spans="3:15" ht="15.75" hidden="1">
      <c r="C351" s="773"/>
      <c r="D351" s="771"/>
      <c r="E351" s="865"/>
      <c r="F351" s="772"/>
      <c r="G351" s="843"/>
      <c r="H351" s="843"/>
      <c r="I351" s="843"/>
      <c r="J351" s="844"/>
      <c r="K351" s="776"/>
      <c r="L351" s="775"/>
      <c r="M351" s="776"/>
      <c r="N351" s="779"/>
      <c r="O351" s="814"/>
    </row>
    <row r="352" spans="3:15" ht="15.75" hidden="1">
      <c r="C352" s="766"/>
      <c r="D352" s="761"/>
      <c r="E352" s="869"/>
      <c r="F352" s="760"/>
      <c r="G352" s="854"/>
      <c r="H352" s="854"/>
      <c r="I352" s="854"/>
      <c r="J352" s="815"/>
      <c r="K352" s="768"/>
      <c r="L352" s="769"/>
      <c r="M352" s="768"/>
      <c r="N352" s="765"/>
      <c r="O352" s="814"/>
    </row>
    <row r="353" spans="3:15" ht="15.75" hidden="1">
      <c r="C353" s="984" t="s">
        <v>264</v>
      </c>
      <c r="D353" s="761"/>
      <c r="E353" s="866" t="s">
        <v>710</v>
      </c>
      <c r="F353" s="760"/>
      <c r="G353" s="817"/>
      <c r="H353" s="817"/>
      <c r="I353" s="817"/>
      <c r="J353" s="815"/>
      <c r="K353" s="768"/>
      <c r="L353" s="769"/>
      <c r="M353" s="768"/>
      <c r="N353" s="765"/>
      <c r="O353" s="814"/>
    </row>
    <row r="354" spans="3:15" ht="15.75" hidden="1">
      <c r="C354" s="758">
        <v>1</v>
      </c>
      <c r="D354" s="761"/>
      <c r="E354" s="760" t="s">
        <v>1156</v>
      </c>
      <c r="F354" s="760"/>
      <c r="G354" s="817"/>
      <c r="H354" s="817"/>
      <c r="I354" s="817"/>
      <c r="J354" s="815" t="s">
        <v>149</v>
      </c>
      <c r="K354" s="768"/>
      <c r="L354" s="767">
        <v>350000</v>
      </c>
      <c r="M354" s="768">
        <f>L354*K354</f>
        <v>0</v>
      </c>
      <c r="N354" s="765"/>
      <c r="O354" s="814"/>
    </row>
    <row r="355" spans="3:15" ht="15.75" hidden="1">
      <c r="C355" s="758">
        <f>C354+1</f>
        <v>2</v>
      </c>
      <c r="D355" s="761"/>
      <c r="E355" s="760" t="s">
        <v>192</v>
      </c>
      <c r="F355" s="760"/>
      <c r="G355" s="817"/>
      <c r="H355" s="817"/>
      <c r="I355" s="817"/>
      <c r="J355" s="815" t="s">
        <v>149</v>
      </c>
      <c r="K355" s="768"/>
      <c r="L355" s="767">
        <f>ANALISA!$N$450</f>
        <v>28755</v>
      </c>
      <c r="M355" s="768">
        <f>L355*K355*0</f>
        <v>0</v>
      </c>
      <c r="N355" s="841"/>
      <c r="O355" s="854"/>
    </row>
    <row r="356" spans="3:15" ht="15.75" hidden="1">
      <c r="C356" s="766"/>
      <c r="D356" s="761"/>
      <c r="E356" s="869"/>
      <c r="F356" s="760"/>
      <c r="G356" s="854"/>
      <c r="H356" s="854"/>
      <c r="I356" s="854"/>
      <c r="J356" s="815"/>
      <c r="K356" s="768"/>
      <c r="L356" s="767"/>
      <c r="M356" s="768"/>
      <c r="N356" s="765"/>
      <c r="O356" s="814"/>
    </row>
    <row r="357" spans="3:15" ht="15.75" hidden="1">
      <c r="C357" s="993"/>
      <c r="D357" s="994"/>
      <c r="E357" s="995"/>
      <c r="F357" s="996"/>
      <c r="G357" s="989"/>
      <c r="H357" s="989"/>
      <c r="I357" s="989"/>
      <c r="J357" s="990"/>
      <c r="K357" s="991"/>
      <c r="L357" s="997"/>
      <c r="M357" s="991"/>
      <c r="N357" s="992"/>
      <c r="O357" s="814"/>
    </row>
    <row r="358" spans="3:15" ht="15.75" hidden="1">
      <c r="C358" s="984" t="s">
        <v>265</v>
      </c>
      <c r="D358" s="759"/>
      <c r="E358" s="763" t="s">
        <v>737</v>
      </c>
      <c r="F358" s="760"/>
      <c r="G358" s="854"/>
      <c r="H358" s="854"/>
      <c r="I358" s="854"/>
      <c r="J358" s="815"/>
      <c r="K358" s="768"/>
      <c r="L358" s="767"/>
      <c r="M358" s="768"/>
      <c r="N358" s="765"/>
      <c r="O358" s="814"/>
    </row>
    <row r="359" spans="3:15" ht="15.75" hidden="1">
      <c r="C359" s="758">
        <v>1</v>
      </c>
      <c r="D359" s="759"/>
      <c r="E359" s="760" t="s">
        <v>1156</v>
      </c>
      <c r="F359" s="760"/>
      <c r="G359" s="817"/>
      <c r="H359" s="817"/>
      <c r="I359" s="817"/>
      <c r="J359" s="815" t="s">
        <v>149</v>
      </c>
      <c r="K359" s="768"/>
      <c r="L359" s="769">
        <f>L354</f>
        <v>350000</v>
      </c>
      <c r="M359" s="768">
        <f>L359*K359</f>
        <v>0</v>
      </c>
      <c r="N359" s="841"/>
      <c r="O359" s="854"/>
    </row>
    <row r="360" spans="3:15" ht="15.75" hidden="1">
      <c r="C360" s="867"/>
      <c r="D360" s="778"/>
      <c r="E360" s="772"/>
      <c r="F360" s="772"/>
      <c r="G360" s="843"/>
      <c r="H360" s="843"/>
      <c r="I360" s="843"/>
      <c r="J360" s="844"/>
      <c r="K360" s="776"/>
      <c r="L360" s="775"/>
      <c r="M360" s="776"/>
      <c r="N360" s="779"/>
      <c r="O360" s="814"/>
    </row>
    <row r="361" spans="3:15" ht="15.75" hidden="1">
      <c r="C361" s="762"/>
      <c r="D361" s="759"/>
      <c r="E361" s="760"/>
      <c r="F361" s="760"/>
      <c r="G361" s="854"/>
      <c r="H361" s="854"/>
      <c r="I361" s="854"/>
      <c r="J361" s="815"/>
      <c r="K361" s="768"/>
      <c r="L361" s="769"/>
      <c r="M361" s="768"/>
      <c r="N361" s="765"/>
      <c r="O361" s="814"/>
    </row>
    <row r="362" spans="3:15" ht="15.75" hidden="1">
      <c r="C362" s="984" t="s">
        <v>266</v>
      </c>
      <c r="D362" s="759"/>
      <c r="E362" s="763" t="s">
        <v>1155</v>
      </c>
      <c r="F362" s="760"/>
      <c r="G362" s="817"/>
      <c r="H362" s="817"/>
      <c r="I362" s="817"/>
      <c r="J362" s="815"/>
      <c r="K362" s="768"/>
      <c r="L362" s="769"/>
      <c r="M362" s="768"/>
      <c r="N362" s="765"/>
      <c r="O362" s="814"/>
    </row>
    <row r="363" spans="3:15" ht="15.75" hidden="1">
      <c r="C363" s="871" t="e">
        <f>#REF!+1</f>
        <v>#REF!</v>
      </c>
      <c r="D363" s="872"/>
      <c r="E363" s="873" t="s">
        <v>817</v>
      </c>
      <c r="F363" s="874"/>
      <c r="G363" s="874"/>
      <c r="H363" s="874"/>
      <c r="I363" s="875"/>
      <c r="J363" s="876" t="s">
        <v>161</v>
      </c>
      <c r="K363" s="870"/>
      <c r="L363" s="767"/>
      <c r="M363" s="767"/>
      <c r="N363" s="868"/>
      <c r="O363" s="1031"/>
    </row>
    <row r="364" spans="3:15" ht="15.75" hidden="1">
      <c r="C364" s="867"/>
      <c r="D364" s="778"/>
      <c r="E364" s="792"/>
      <c r="F364" s="772"/>
      <c r="G364" s="843"/>
      <c r="H364" s="843"/>
      <c r="I364" s="843"/>
      <c r="J364" s="844"/>
      <c r="K364" s="776"/>
      <c r="L364" s="775"/>
      <c r="M364" s="776"/>
      <c r="N364" s="779"/>
      <c r="O364" s="814"/>
    </row>
    <row r="365" spans="3:15" ht="15.75" hidden="1">
      <c r="C365" s="780"/>
      <c r="D365" s="781"/>
      <c r="E365" s="782"/>
      <c r="F365" s="796"/>
      <c r="G365" s="849"/>
      <c r="H365" s="849"/>
      <c r="I365" s="849"/>
      <c r="J365" s="850"/>
      <c r="K365" s="838"/>
      <c r="L365" s="812"/>
      <c r="M365" s="838"/>
      <c r="N365" s="842"/>
      <c r="O365" s="814"/>
    </row>
    <row r="366" spans="3:15" ht="15.75" hidden="1">
      <c r="C366" s="984" t="s">
        <v>363</v>
      </c>
      <c r="D366" s="759"/>
      <c r="E366" s="763" t="s">
        <v>738</v>
      </c>
      <c r="F366" s="760"/>
      <c r="G366" s="817"/>
      <c r="H366" s="817"/>
      <c r="I366" s="817"/>
      <c r="J366" s="815"/>
      <c r="K366" s="768"/>
      <c r="L366" s="769"/>
      <c r="M366" s="768"/>
      <c r="N366" s="765"/>
      <c r="O366" s="814"/>
    </row>
    <row r="367" spans="3:15" ht="15.75" hidden="1">
      <c r="C367" s="758">
        <v>1</v>
      </c>
      <c r="D367" s="806"/>
      <c r="E367" s="760" t="s">
        <v>216</v>
      </c>
      <c r="F367" s="817"/>
      <c r="G367" s="817"/>
      <c r="H367" s="817"/>
      <c r="I367" s="817"/>
      <c r="J367" s="815" t="s">
        <v>134</v>
      </c>
      <c r="K367" s="768"/>
      <c r="L367" s="767">
        <f>ANALISA!$N$12</f>
        <v>13600</v>
      </c>
      <c r="M367" s="769">
        <f aca="true" t="shared" si="27" ref="M367:M379">K367*L367</f>
        <v>0</v>
      </c>
      <c r="N367" s="765"/>
      <c r="O367" s="814"/>
    </row>
    <row r="368" spans="3:15" ht="15.75" hidden="1">
      <c r="C368" s="758">
        <f aca="true" t="shared" si="28" ref="C368:C379">C367+1</f>
        <v>2</v>
      </c>
      <c r="D368" s="806"/>
      <c r="E368" s="760" t="s">
        <v>111</v>
      </c>
      <c r="F368" s="817"/>
      <c r="G368" s="817"/>
      <c r="H368" s="817"/>
      <c r="I368" s="817"/>
      <c r="J368" s="815" t="s">
        <v>134</v>
      </c>
      <c r="K368" s="768"/>
      <c r="L368" s="767">
        <f>ANALISA!$N$20</f>
        <v>6800</v>
      </c>
      <c r="M368" s="769">
        <f t="shared" si="27"/>
        <v>0</v>
      </c>
      <c r="N368" s="765"/>
      <c r="O368" s="814"/>
    </row>
    <row r="369" spans="3:15" ht="15.75" hidden="1">
      <c r="C369" s="758">
        <f t="shared" si="28"/>
        <v>3</v>
      </c>
      <c r="D369" s="806"/>
      <c r="E369" s="760" t="s">
        <v>113</v>
      </c>
      <c r="F369" s="817"/>
      <c r="G369" s="817"/>
      <c r="H369" s="817"/>
      <c r="I369" s="817"/>
      <c r="J369" s="815" t="s">
        <v>134</v>
      </c>
      <c r="K369" s="768"/>
      <c r="L369" s="767">
        <f>ANALISA!$N$27</f>
        <v>93400</v>
      </c>
      <c r="M369" s="769">
        <f t="shared" si="27"/>
        <v>0</v>
      </c>
      <c r="N369" s="765"/>
      <c r="O369" s="814"/>
    </row>
    <row r="370" spans="3:15" ht="15.75" hidden="1">
      <c r="C370" s="758">
        <f t="shared" si="28"/>
        <v>4</v>
      </c>
      <c r="D370" s="806"/>
      <c r="E370" s="760" t="s">
        <v>114</v>
      </c>
      <c r="F370" s="817"/>
      <c r="G370" s="817"/>
      <c r="H370" s="817"/>
      <c r="I370" s="817"/>
      <c r="J370" s="815" t="s">
        <v>134</v>
      </c>
      <c r="K370" s="768"/>
      <c r="L370" s="767">
        <f>ANALISA!$N$37</f>
        <v>387900</v>
      </c>
      <c r="M370" s="769">
        <f t="shared" si="27"/>
        <v>0</v>
      </c>
      <c r="N370" s="765"/>
      <c r="O370" s="814"/>
    </row>
    <row r="371" spans="3:15" ht="15.75" hidden="1">
      <c r="C371" s="758">
        <f t="shared" si="28"/>
        <v>5</v>
      </c>
      <c r="D371" s="806"/>
      <c r="E371" s="760" t="s">
        <v>129</v>
      </c>
      <c r="F371" s="817"/>
      <c r="G371" s="817"/>
      <c r="H371" s="817"/>
      <c r="I371" s="817"/>
      <c r="J371" s="815" t="s">
        <v>134</v>
      </c>
      <c r="K371" s="768"/>
      <c r="L371" s="767">
        <f>ANALISA!$N$37</f>
        <v>387900</v>
      </c>
      <c r="M371" s="769">
        <f t="shared" si="27"/>
        <v>0</v>
      </c>
      <c r="N371" s="765"/>
      <c r="O371" s="814"/>
    </row>
    <row r="372" spans="3:15" ht="15.75" hidden="1">
      <c r="C372" s="758">
        <f t="shared" si="28"/>
        <v>6</v>
      </c>
      <c r="D372" s="806"/>
      <c r="E372" s="760" t="s">
        <v>286</v>
      </c>
      <c r="F372" s="817"/>
      <c r="G372" s="817"/>
      <c r="H372" s="817"/>
      <c r="I372" s="817"/>
      <c r="J372" s="815" t="s">
        <v>134</v>
      </c>
      <c r="K372" s="768"/>
      <c r="L372" s="767">
        <f>ANALISA!$N$631</f>
        <v>2727535.3333333335</v>
      </c>
      <c r="M372" s="769">
        <f t="shared" si="27"/>
        <v>0</v>
      </c>
      <c r="N372" s="765"/>
      <c r="O372" s="814"/>
    </row>
    <row r="373" spans="3:15" ht="15.75" hidden="1">
      <c r="C373" s="758">
        <f t="shared" si="28"/>
        <v>7</v>
      </c>
      <c r="D373" s="806"/>
      <c r="E373" s="760" t="s">
        <v>29</v>
      </c>
      <c r="F373" s="817"/>
      <c r="G373" s="817"/>
      <c r="H373" s="817"/>
      <c r="I373" s="817"/>
      <c r="J373" s="815" t="s">
        <v>134</v>
      </c>
      <c r="K373" s="768"/>
      <c r="L373" s="767">
        <f>ANALISA!$N$626</f>
        <v>2727535.3333333335</v>
      </c>
      <c r="M373" s="769">
        <f t="shared" si="27"/>
        <v>0</v>
      </c>
      <c r="N373" s="765"/>
      <c r="O373" s="814"/>
    </row>
    <row r="374" spans="3:15" ht="15.75" hidden="1">
      <c r="C374" s="758">
        <f t="shared" si="28"/>
        <v>8</v>
      </c>
      <c r="D374" s="806"/>
      <c r="E374" s="760" t="s">
        <v>194</v>
      </c>
      <c r="F374" s="817"/>
      <c r="G374" s="817"/>
      <c r="H374" s="817"/>
      <c r="I374" s="817"/>
      <c r="J374" s="815" t="s">
        <v>134</v>
      </c>
      <c r="K374" s="768"/>
      <c r="L374" s="767">
        <f>ANALISA!$N$679</f>
        <v>3127538</v>
      </c>
      <c r="M374" s="769">
        <f t="shared" si="27"/>
        <v>0</v>
      </c>
      <c r="N374" s="765"/>
      <c r="O374" s="814"/>
    </row>
    <row r="375" spans="3:15" ht="15.75" hidden="1">
      <c r="C375" s="758">
        <f t="shared" si="28"/>
        <v>9</v>
      </c>
      <c r="D375" s="806"/>
      <c r="E375" s="760" t="s">
        <v>5</v>
      </c>
      <c r="F375" s="817"/>
      <c r="G375" s="817"/>
      <c r="H375" s="817"/>
      <c r="I375" s="817"/>
      <c r="J375" s="815" t="s">
        <v>149</v>
      </c>
      <c r="K375" s="768"/>
      <c r="L375" s="767">
        <f>ANALISA!$N$63</f>
        <v>49538</v>
      </c>
      <c r="M375" s="769">
        <f t="shared" si="27"/>
        <v>0</v>
      </c>
      <c r="N375" s="765"/>
      <c r="O375" s="814"/>
    </row>
    <row r="376" spans="3:15" ht="15.75" hidden="1">
      <c r="C376" s="758">
        <f t="shared" si="28"/>
        <v>10</v>
      </c>
      <c r="D376" s="806"/>
      <c r="E376" s="760" t="s">
        <v>6</v>
      </c>
      <c r="F376" s="817"/>
      <c r="G376" s="817"/>
      <c r="H376" s="817"/>
      <c r="I376" s="817"/>
      <c r="J376" s="815" t="s">
        <v>149</v>
      </c>
      <c r="K376" s="768"/>
      <c r="L376" s="767">
        <f>ANALISA!$N$87</f>
        <v>18569.6</v>
      </c>
      <c r="M376" s="769">
        <f t="shared" si="27"/>
        <v>0</v>
      </c>
      <c r="N376" s="765"/>
      <c r="O376" s="814"/>
    </row>
    <row r="377" spans="3:15" ht="15.75" hidden="1">
      <c r="C377" s="758">
        <f t="shared" si="28"/>
        <v>11</v>
      </c>
      <c r="D377" s="806"/>
      <c r="E377" s="760" t="s">
        <v>748</v>
      </c>
      <c r="F377" s="817"/>
      <c r="G377" s="817" t="s">
        <v>1093</v>
      </c>
      <c r="H377" s="817"/>
      <c r="I377" s="817"/>
      <c r="J377" s="815" t="s">
        <v>159</v>
      </c>
      <c r="K377" s="768"/>
      <c r="L377" s="769">
        <f>3000000*1.4</f>
        <v>4200000</v>
      </c>
      <c r="M377" s="769">
        <f t="shared" si="27"/>
        <v>0</v>
      </c>
      <c r="N377" s="765"/>
      <c r="O377" s="814"/>
    </row>
    <row r="378" spans="3:15" ht="15.75" hidden="1">
      <c r="C378" s="758">
        <f t="shared" si="28"/>
        <v>12</v>
      </c>
      <c r="D378" s="806"/>
      <c r="E378" s="760" t="s">
        <v>1091</v>
      </c>
      <c r="F378" s="817"/>
      <c r="G378" s="817" t="s">
        <v>1092</v>
      </c>
      <c r="H378" s="817"/>
      <c r="I378" s="817"/>
      <c r="J378" s="815" t="s">
        <v>139</v>
      </c>
      <c r="K378" s="768"/>
      <c r="L378" s="769">
        <f>300000*1.4</f>
        <v>420000</v>
      </c>
      <c r="M378" s="769">
        <f t="shared" si="27"/>
        <v>0</v>
      </c>
      <c r="N378" s="765"/>
      <c r="O378" s="814"/>
    </row>
    <row r="379" spans="3:15" ht="15.75" hidden="1">
      <c r="C379" s="758">
        <f t="shared" si="28"/>
        <v>13</v>
      </c>
      <c r="D379" s="806"/>
      <c r="E379" s="817" t="s">
        <v>747</v>
      </c>
      <c r="F379" s="817"/>
      <c r="G379" s="817"/>
      <c r="H379" s="817"/>
      <c r="I379" s="817"/>
      <c r="J379" s="815" t="s">
        <v>149</v>
      </c>
      <c r="K379" s="768"/>
      <c r="L379" s="768">
        <f>L68</f>
        <v>517999.99999999994</v>
      </c>
      <c r="M379" s="768">
        <f t="shared" si="27"/>
        <v>0</v>
      </c>
      <c r="N379" s="841"/>
      <c r="O379" s="854"/>
    </row>
    <row r="380" spans="3:15" ht="15.75" hidden="1">
      <c r="C380" s="867"/>
      <c r="D380" s="778"/>
      <c r="E380" s="792"/>
      <c r="F380" s="772"/>
      <c r="G380" s="843"/>
      <c r="H380" s="843"/>
      <c r="I380" s="843"/>
      <c r="J380" s="844"/>
      <c r="K380" s="776"/>
      <c r="L380" s="775"/>
      <c r="M380" s="776"/>
      <c r="N380" s="779"/>
      <c r="O380" s="814"/>
    </row>
    <row r="381" spans="3:15" ht="15.75" hidden="1">
      <c r="C381" s="984" t="s">
        <v>364</v>
      </c>
      <c r="D381" s="759"/>
      <c r="E381" s="763" t="s">
        <v>626</v>
      </c>
      <c r="F381" s="760"/>
      <c r="G381" s="817"/>
      <c r="H381" s="817"/>
      <c r="I381" s="817"/>
      <c r="J381" s="815" t="s">
        <v>161</v>
      </c>
      <c r="K381" s="768"/>
      <c r="L381" s="769">
        <v>2500000</v>
      </c>
      <c r="M381" s="768">
        <f>L381*K381</f>
        <v>0</v>
      </c>
      <c r="N381" s="765"/>
      <c r="O381" s="814"/>
    </row>
    <row r="382" spans="3:15" ht="15.75" hidden="1">
      <c r="C382" s="766"/>
      <c r="D382" s="761"/>
      <c r="E382" s="817"/>
      <c r="F382" s="817"/>
      <c r="G382" s="817"/>
      <c r="H382" s="817"/>
      <c r="I382" s="817"/>
      <c r="J382" s="815"/>
      <c r="K382" s="768"/>
      <c r="L382" s="769"/>
      <c r="M382" s="768"/>
      <c r="N382" s="765"/>
      <c r="O382" s="814"/>
    </row>
    <row r="383" spans="3:15" ht="15.75" hidden="1">
      <c r="C383" s="800"/>
      <c r="D383" s="797"/>
      <c r="E383" s="849"/>
      <c r="F383" s="849"/>
      <c r="G383" s="849"/>
      <c r="H383" s="849"/>
      <c r="I383" s="849"/>
      <c r="J383" s="1008" t="s">
        <v>1147</v>
      </c>
      <c r="K383" s="1009"/>
      <c r="L383" s="1010"/>
      <c r="M383" s="1011"/>
      <c r="N383" s="842"/>
      <c r="O383" s="814"/>
    </row>
    <row r="384" spans="3:15" ht="15.75" hidden="1">
      <c r="C384" s="773"/>
      <c r="D384" s="771"/>
      <c r="E384" s="843"/>
      <c r="F384" s="843"/>
      <c r="G384" s="843"/>
      <c r="H384" s="843"/>
      <c r="I384" s="843"/>
      <c r="J384" s="1012"/>
      <c r="K384" s="863"/>
      <c r="L384" s="1013"/>
      <c r="M384" s="1014"/>
      <c r="N384" s="779"/>
      <c r="O384" s="814"/>
    </row>
    <row r="385" spans="3:15" ht="15.75">
      <c r="C385" s="766"/>
      <c r="D385" s="761"/>
      <c r="E385" s="817"/>
      <c r="F385" s="817"/>
      <c r="G385" s="817"/>
      <c r="H385" s="817"/>
      <c r="I385" s="817"/>
      <c r="J385" s="815"/>
      <c r="K385" s="768"/>
      <c r="L385" s="769"/>
      <c r="M385" s="768"/>
      <c r="N385" s="765"/>
      <c r="O385" s="814"/>
    </row>
    <row r="386" spans="3:15" ht="15.75">
      <c r="C386" s="985" t="s">
        <v>497</v>
      </c>
      <c r="D386" s="978"/>
      <c r="E386" s="986" t="s">
        <v>508</v>
      </c>
      <c r="F386" s="759"/>
      <c r="G386" s="759"/>
      <c r="H386" s="759"/>
      <c r="I386" s="759"/>
      <c r="J386" s="764"/>
      <c r="K386" s="765"/>
      <c r="L386" s="765"/>
      <c r="M386" s="765"/>
      <c r="N386" s="765"/>
      <c r="O386" s="814"/>
    </row>
    <row r="387" spans="3:15" ht="15.75">
      <c r="C387" s="837"/>
      <c r="D387" s="759"/>
      <c r="E387" s="877"/>
      <c r="F387" s="759"/>
      <c r="G387" s="759"/>
      <c r="H387" s="759"/>
      <c r="I387" s="759"/>
      <c r="J387" s="764"/>
      <c r="K387" s="765"/>
      <c r="L387" s="765"/>
      <c r="M387" s="765"/>
      <c r="N387" s="765"/>
      <c r="O387" s="814"/>
    </row>
    <row r="388" spans="3:15" ht="15.75">
      <c r="C388" s="984" t="s">
        <v>219</v>
      </c>
      <c r="D388" s="759"/>
      <c r="E388" s="877" t="s">
        <v>1160</v>
      </c>
      <c r="F388" s="759"/>
      <c r="G388" s="759"/>
      <c r="H388" s="759"/>
      <c r="I388" s="759"/>
      <c r="J388" s="764"/>
      <c r="K388" s="765"/>
      <c r="L388" s="765"/>
      <c r="M388" s="765"/>
      <c r="N388" s="765">
        <f>+SUM(M390:M418)</f>
        <v>7003650</v>
      </c>
      <c r="O388" s="814"/>
    </row>
    <row r="389" spans="3:15" ht="15.75">
      <c r="C389" s="762"/>
      <c r="D389" s="759"/>
      <c r="E389" s="763" t="s">
        <v>749</v>
      </c>
      <c r="F389" s="759"/>
      <c r="G389" s="759"/>
      <c r="H389" s="759"/>
      <c r="I389" s="759"/>
      <c r="J389" s="764"/>
      <c r="K389" s="765"/>
      <c r="L389" s="765"/>
      <c r="M389" s="765"/>
      <c r="N389" s="765"/>
      <c r="O389" s="814"/>
    </row>
    <row r="390" spans="3:15" ht="15.75">
      <c r="C390" s="826">
        <v>1</v>
      </c>
      <c r="D390" s="806"/>
      <c r="E390" s="818" t="s">
        <v>1271</v>
      </c>
      <c r="F390" s="803"/>
      <c r="G390" s="818"/>
      <c r="H390" s="818"/>
      <c r="I390" s="803"/>
      <c r="J390" s="804" t="s">
        <v>139</v>
      </c>
      <c r="K390" s="769">
        <v>2</v>
      </c>
      <c r="L390" s="767">
        <f>Sheet2!B346*Sheet2!$B$344</f>
        <v>450000</v>
      </c>
      <c r="M390" s="769">
        <f aca="true" t="shared" si="29" ref="M390:M397">K390*L390</f>
        <v>900000</v>
      </c>
      <c r="N390" s="765"/>
      <c r="O390" s="814"/>
    </row>
    <row r="391" spans="3:15" ht="15.75" hidden="1">
      <c r="C391" s="826">
        <f aca="true" t="shared" si="30" ref="C391:C397">C390+1</f>
        <v>2</v>
      </c>
      <c r="D391" s="806"/>
      <c r="E391" s="818" t="s">
        <v>549</v>
      </c>
      <c r="F391" s="803"/>
      <c r="G391" s="818"/>
      <c r="H391" s="818"/>
      <c r="I391" s="803"/>
      <c r="J391" s="804" t="s">
        <v>139</v>
      </c>
      <c r="K391" s="769"/>
      <c r="L391" s="767">
        <f>Sheet2!B347*Sheet2!$B$344</f>
        <v>929000</v>
      </c>
      <c r="M391" s="769">
        <f t="shared" si="29"/>
        <v>0</v>
      </c>
      <c r="N391" s="765"/>
      <c r="O391" s="814"/>
    </row>
    <row r="392" spans="3:15" ht="15.75" hidden="1">
      <c r="C392" s="826">
        <f t="shared" si="30"/>
        <v>3</v>
      </c>
      <c r="D392" s="806"/>
      <c r="E392" s="818" t="s">
        <v>551</v>
      </c>
      <c r="F392" s="803"/>
      <c r="G392" s="818"/>
      <c r="H392" s="818"/>
      <c r="I392" s="803"/>
      <c r="J392" s="804" t="s">
        <v>139</v>
      </c>
      <c r="K392" s="769"/>
      <c r="L392" s="767">
        <f>Sheet2!B348*Sheet2!$B$344</f>
        <v>439500</v>
      </c>
      <c r="M392" s="769">
        <f t="shared" si="29"/>
        <v>0</v>
      </c>
      <c r="N392" s="765"/>
      <c r="O392" s="814"/>
    </row>
    <row r="393" spans="3:15" ht="15.75">
      <c r="C393" s="826">
        <v>2</v>
      </c>
      <c r="D393" s="806"/>
      <c r="E393" s="818" t="s">
        <v>1055</v>
      </c>
      <c r="F393" s="803"/>
      <c r="G393" s="818"/>
      <c r="H393" s="818"/>
      <c r="I393" s="803"/>
      <c r="J393" s="804" t="s">
        <v>139</v>
      </c>
      <c r="K393" s="769">
        <v>2</v>
      </c>
      <c r="L393" s="767">
        <f>Sheet2!B349*Sheet2!$B$344</f>
        <v>184875</v>
      </c>
      <c r="M393" s="769">
        <f t="shared" si="29"/>
        <v>369750</v>
      </c>
      <c r="N393" s="765"/>
      <c r="O393" s="814"/>
    </row>
    <row r="394" spans="3:15" ht="15.75" hidden="1">
      <c r="C394" s="826">
        <f t="shared" si="30"/>
        <v>3</v>
      </c>
      <c r="D394" s="806"/>
      <c r="E394" s="854" t="s">
        <v>750</v>
      </c>
      <c r="F394" s="854"/>
      <c r="G394" s="854"/>
      <c r="H394" s="854"/>
      <c r="I394" s="854"/>
      <c r="J394" s="815" t="s">
        <v>176</v>
      </c>
      <c r="K394" s="768"/>
      <c r="L394" s="767">
        <f>Sheet2!B350*Sheet2!$B$344</f>
        <v>97680</v>
      </c>
      <c r="M394" s="769">
        <f t="shared" si="29"/>
        <v>0</v>
      </c>
      <c r="N394" s="765"/>
      <c r="O394" s="814"/>
    </row>
    <row r="395" spans="3:15" ht="15.75">
      <c r="C395" s="826">
        <v>3</v>
      </c>
      <c r="D395" s="806"/>
      <c r="E395" s="854" t="s">
        <v>751</v>
      </c>
      <c r="F395" s="854"/>
      <c r="G395" s="854"/>
      <c r="H395" s="854"/>
      <c r="I395" s="854"/>
      <c r="J395" s="815" t="s">
        <v>176</v>
      </c>
      <c r="K395" s="768">
        <v>3</v>
      </c>
      <c r="L395" s="767">
        <f>Sheet2!B351*Sheet2!$B$344</f>
        <v>155560</v>
      </c>
      <c r="M395" s="769">
        <f t="shared" si="29"/>
        <v>466680</v>
      </c>
      <c r="N395" s="765"/>
      <c r="O395" s="814"/>
    </row>
    <row r="396" spans="3:15" ht="16.5" customHeight="1">
      <c r="C396" s="826">
        <f t="shared" si="30"/>
        <v>4</v>
      </c>
      <c r="D396" s="806"/>
      <c r="E396" s="854" t="s">
        <v>752</v>
      </c>
      <c r="F396" s="854"/>
      <c r="G396" s="854"/>
      <c r="H396" s="854"/>
      <c r="I396" s="854"/>
      <c r="J396" s="815" t="s">
        <v>159</v>
      </c>
      <c r="K396" s="768">
        <v>1</v>
      </c>
      <c r="L396" s="767">
        <v>200000</v>
      </c>
      <c r="M396" s="769">
        <f t="shared" si="29"/>
        <v>200000</v>
      </c>
      <c r="N396" s="765"/>
      <c r="O396" s="814"/>
    </row>
    <row r="397" spans="3:15" ht="15.75">
      <c r="C397" s="826">
        <f t="shared" si="30"/>
        <v>5</v>
      </c>
      <c r="D397" s="806"/>
      <c r="E397" s="854" t="s">
        <v>753</v>
      </c>
      <c r="F397" s="854"/>
      <c r="G397" s="854"/>
      <c r="H397" s="854"/>
      <c r="I397" s="854"/>
      <c r="J397" s="815" t="s">
        <v>139</v>
      </c>
      <c r="K397" s="768">
        <v>1</v>
      </c>
      <c r="L397" s="767">
        <f>Sheet2!B353*Sheet2!$B$344</f>
        <v>175000</v>
      </c>
      <c r="M397" s="769">
        <f t="shared" si="29"/>
        <v>175000</v>
      </c>
      <c r="N397" s="841"/>
      <c r="O397" s="854"/>
    </row>
    <row r="398" spans="3:15" ht="15.75">
      <c r="C398" s="758"/>
      <c r="D398" s="806"/>
      <c r="E398" s="854"/>
      <c r="F398" s="854"/>
      <c r="G398" s="854"/>
      <c r="H398" s="854"/>
      <c r="I398" s="854"/>
      <c r="J398" s="815"/>
      <c r="K398" s="768"/>
      <c r="L398" s="768"/>
      <c r="M398" s="768"/>
      <c r="N398" s="765"/>
      <c r="O398" s="814"/>
    </row>
    <row r="399" spans="3:15" ht="15.75">
      <c r="C399" s="762"/>
      <c r="D399" s="806"/>
      <c r="E399" s="848" t="s">
        <v>754</v>
      </c>
      <c r="F399" s="854"/>
      <c r="G399" s="854"/>
      <c r="H399" s="854"/>
      <c r="I399" s="854"/>
      <c r="J399" s="815"/>
      <c r="K399" s="768"/>
      <c r="L399" s="768"/>
      <c r="M399" s="768"/>
      <c r="N399" s="765"/>
      <c r="O399" s="814"/>
    </row>
    <row r="400" spans="3:15" ht="15.75">
      <c r="C400" s="826">
        <v>1</v>
      </c>
      <c r="D400" s="806"/>
      <c r="E400" s="818" t="s">
        <v>1272</v>
      </c>
      <c r="F400" s="803"/>
      <c r="G400" s="818"/>
      <c r="H400" s="818"/>
      <c r="I400" s="803"/>
      <c r="J400" s="804" t="s">
        <v>139</v>
      </c>
      <c r="K400" s="769">
        <v>2</v>
      </c>
      <c r="L400" s="767">
        <f>Sheet2!B356*Sheet2!$B$344</f>
        <v>750000</v>
      </c>
      <c r="M400" s="769">
        <f aca="true" t="shared" si="31" ref="M400:M406">K400*L400</f>
        <v>1500000</v>
      </c>
      <c r="N400" s="765"/>
      <c r="O400" s="814"/>
    </row>
    <row r="401" spans="3:15" ht="15.75" hidden="1">
      <c r="C401" s="758">
        <f>C400+1</f>
        <v>2</v>
      </c>
      <c r="D401" s="761"/>
      <c r="E401" s="760" t="s">
        <v>632</v>
      </c>
      <c r="F401" s="761"/>
      <c r="G401" s="761"/>
      <c r="H401" s="761"/>
      <c r="I401" s="761"/>
      <c r="J401" s="766" t="s">
        <v>139</v>
      </c>
      <c r="K401" s="767"/>
      <c r="L401" s="769">
        <f>221125*1.1</f>
        <v>243237.50000000003</v>
      </c>
      <c r="M401" s="769">
        <f t="shared" si="31"/>
        <v>0</v>
      </c>
      <c r="N401" s="768"/>
      <c r="O401" s="788"/>
    </row>
    <row r="402" spans="3:15" ht="15.75">
      <c r="C402" s="826">
        <f>C400+1</f>
        <v>2</v>
      </c>
      <c r="D402" s="806"/>
      <c r="E402" s="854" t="s">
        <v>751</v>
      </c>
      <c r="F402" s="854"/>
      <c r="G402" s="854"/>
      <c r="H402" s="854"/>
      <c r="I402" s="854"/>
      <c r="J402" s="815" t="s">
        <v>176</v>
      </c>
      <c r="K402" s="768">
        <v>4</v>
      </c>
      <c r="L402" s="767">
        <f>Sheet2!B358*Sheet2!$B$344</f>
        <v>155560</v>
      </c>
      <c r="M402" s="769">
        <f t="shared" si="31"/>
        <v>622240</v>
      </c>
      <c r="N402" s="765"/>
      <c r="O402" s="814"/>
    </row>
    <row r="403" spans="3:15" ht="15.75">
      <c r="C403" s="826">
        <f>C402+1</f>
        <v>3</v>
      </c>
      <c r="D403" s="806"/>
      <c r="E403" s="854" t="s">
        <v>1052</v>
      </c>
      <c r="F403" s="854"/>
      <c r="G403" s="854"/>
      <c r="H403" s="854"/>
      <c r="I403" s="854"/>
      <c r="J403" s="804" t="s">
        <v>139</v>
      </c>
      <c r="K403" s="768">
        <v>2</v>
      </c>
      <c r="L403" s="767">
        <f>Sheet2!B359*Sheet2!$B$344</f>
        <v>193575</v>
      </c>
      <c r="M403" s="769">
        <f t="shared" si="31"/>
        <v>387150</v>
      </c>
      <c r="N403" s="765"/>
      <c r="O403" s="814"/>
    </row>
    <row r="404" spans="3:15" ht="15.75" hidden="1">
      <c r="C404" s="826">
        <f>C403+1</f>
        <v>4</v>
      </c>
      <c r="D404" s="806"/>
      <c r="E404" s="854" t="s">
        <v>1053</v>
      </c>
      <c r="F404" s="854"/>
      <c r="G404" s="854"/>
      <c r="H404" s="854"/>
      <c r="I404" s="854"/>
      <c r="J404" s="804" t="s">
        <v>139</v>
      </c>
      <c r="K404" s="768"/>
      <c r="L404" s="767">
        <f>Sheet2!B360*Sheet2!$B$344</f>
        <v>111650</v>
      </c>
      <c r="M404" s="769">
        <f t="shared" si="31"/>
        <v>0</v>
      </c>
      <c r="N404" s="765"/>
      <c r="O404" s="814"/>
    </row>
    <row r="405" spans="3:15" ht="15.75">
      <c r="C405" s="826">
        <v>4</v>
      </c>
      <c r="D405" s="806"/>
      <c r="E405" s="854" t="s">
        <v>1054</v>
      </c>
      <c r="F405" s="854"/>
      <c r="G405" s="854"/>
      <c r="H405" s="854"/>
      <c r="I405" s="854"/>
      <c r="J405" s="804" t="s">
        <v>139</v>
      </c>
      <c r="K405" s="768">
        <v>2</v>
      </c>
      <c r="L405" s="767">
        <f>Sheet2!B361*Sheet2!$B$344</f>
        <v>184875</v>
      </c>
      <c r="M405" s="769">
        <f t="shared" si="31"/>
        <v>369750</v>
      </c>
      <c r="N405" s="765"/>
      <c r="O405" s="814"/>
    </row>
    <row r="406" spans="3:15" ht="15.75">
      <c r="C406" s="826">
        <f>C405+1</f>
        <v>5</v>
      </c>
      <c r="D406" s="806"/>
      <c r="E406" s="854" t="s">
        <v>752</v>
      </c>
      <c r="F406" s="854"/>
      <c r="G406" s="854"/>
      <c r="H406" s="854"/>
      <c r="I406" s="854"/>
      <c r="J406" s="815" t="s">
        <v>159</v>
      </c>
      <c r="K406" s="768">
        <v>1</v>
      </c>
      <c r="L406" s="767">
        <v>200000</v>
      </c>
      <c r="M406" s="769">
        <f t="shared" si="31"/>
        <v>200000</v>
      </c>
      <c r="N406" s="841"/>
      <c r="O406" s="854"/>
    </row>
    <row r="407" spans="3:15" ht="15.75">
      <c r="C407" s="758"/>
      <c r="D407" s="806"/>
      <c r="E407" s="854"/>
      <c r="F407" s="854"/>
      <c r="G407" s="854"/>
      <c r="H407" s="854"/>
      <c r="I407" s="854"/>
      <c r="J407" s="815"/>
      <c r="K407" s="768"/>
      <c r="L407" s="768"/>
      <c r="M407" s="768"/>
      <c r="N407" s="765"/>
      <c r="O407" s="814"/>
    </row>
    <row r="408" spans="3:15" ht="15.75">
      <c r="C408" s="762"/>
      <c r="D408" s="806"/>
      <c r="E408" s="848" t="s">
        <v>755</v>
      </c>
      <c r="F408" s="854"/>
      <c r="G408" s="854"/>
      <c r="H408" s="854"/>
      <c r="I408" s="854"/>
      <c r="J408" s="815"/>
      <c r="K408" s="768"/>
      <c r="L408" s="768"/>
      <c r="M408" s="768"/>
      <c r="N408" s="765"/>
      <c r="O408" s="814"/>
    </row>
    <row r="409" spans="3:15" ht="15.75">
      <c r="C409" s="878">
        <f>C408+1</f>
        <v>1</v>
      </c>
      <c r="D409" s="879"/>
      <c r="E409" s="874" t="s">
        <v>756</v>
      </c>
      <c r="F409" s="874"/>
      <c r="G409" s="874"/>
      <c r="H409" s="874"/>
      <c r="I409" s="874"/>
      <c r="J409" s="880" t="s">
        <v>161</v>
      </c>
      <c r="K409" s="768"/>
      <c r="L409" s="768"/>
      <c r="M409" s="769"/>
      <c r="N409" s="765"/>
      <c r="O409" s="814"/>
    </row>
    <row r="410" spans="3:15" ht="15.75">
      <c r="C410" s="826">
        <v>1</v>
      </c>
      <c r="D410" s="806"/>
      <c r="E410" s="854" t="s">
        <v>1269</v>
      </c>
      <c r="F410" s="854"/>
      <c r="G410" s="854"/>
      <c r="H410" s="854"/>
      <c r="I410" s="854"/>
      <c r="J410" s="815" t="s">
        <v>161</v>
      </c>
      <c r="K410" s="768">
        <v>1</v>
      </c>
      <c r="L410" s="767">
        <f>550000</f>
        <v>550000</v>
      </c>
      <c r="M410" s="769">
        <f aca="true" t="shared" si="32" ref="M410:M418">K410*L410</f>
        <v>550000</v>
      </c>
      <c r="N410" s="765"/>
      <c r="O410" s="814"/>
    </row>
    <row r="411" spans="3:15" ht="15.75">
      <c r="C411" s="826">
        <f aca="true" t="shared" si="33" ref="C411:C418">C410+1</f>
        <v>2</v>
      </c>
      <c r="D411" s="806"/>
      <c r="E411" s="854" t="s">
        <v>757</v>
      </c>
      <c r="F411" s="854"/>
      <c r="G411" s="854"/>
      <c r="H411" s="854"/>
      <c r="I411" s="854"/>
      <c r="J411" s="815" t="s">
        <v>139</v>
      </c>
      <c r="K411" s="768">
        <v>6</v>
      </c>
      <c r="L411" s="767">
        <f>Sheet2!B367*Sheet2!$B$344</f>
        <v>111650</v>
      </c>
      <c r="M411" s="769">
        <f t="shared" si="32"/>
        <v>669900</v>
      </c>
      <c r="N411" s="765"/>
      <c r="O411" s="814"/>
    </row>
    <row r="412" spans="3:15" ht="15.75">
      <c r="C412" s="826">
        <f t="shared" si="33"/>
        <v>3</v>
      </c>
      <c r="D412" s="806"/>
      <c r="E412" s="854" t="s">
        <v>759</v>
      </c>
      <c r="F412" s="854"/>
      <c r="G412" s="854"/>
      <c r="H412" s="854"/>
      <c r="I412" s="854"/>
      <c r="J412" s="815" t="s">
        <v>176</v>
      </c>
      <c r="K412" s="768">
        <v>7</v>
      </c>
      <c r="L412" s="767">
        <f>Sheet2!B368*Sheet2!$B$344</f>
        <v>16740</v>
      </c>
      <c r="M412" s="769">
        <f t="shared" si="32"/>
        <v>117180</v>
      </c>
      <c r="N412" s="765"/>
      <c r="O412" s="814"/>
    </row>
    <row r="413" spans="3:15" ht="17.25" customHeight="1" hidden="1">
      <c r="C413" s="826">
        <f t="shared" si="33"/>
        <v>4</v>
      </c>
      <c r="D413" s="806"/>
      <c r="E413" s="854" t="s">
        <v>758</v>
      </c>
      <c r="F413" s="854"/>
      <c r="G413" s="854"/>
      <c r="H413" s="854"/>
      <c r="I413" s="854"/>
      <c r="J413" s="815" t="s">
        <v>176</v>
      </c>
      <c r="K413" s="768"/>
      <c r="L413" s="767">
        <f>Sheet2!B369*Sheet2!$B$344</f>
        <v>21960</v>
      </c>
      <c r="M413" s="769">
        <f t="shared" si="32"/>
        <v>0</v>
      </c>
      <c r="N413" s="765"/>
      <c r="O413" s="814"/>
    </row>
    <row r="414" spans="3:15" ht="17.25" customHeight="1" hidden="1">
      <c r="C414" s="826">
        <f t="shared" si="33"/>
        <v>5</v>
      </c>
      <c r="D414" s="806"/>
      <c r="E414" s="854" t="s">
        <v>760</v>
      </c>
      <c r="F414" s="854"/>
      <c r="G414" s="854"/>
      <c r="H414" s="854"/>
      <c r="I414" s="854"/>
      <c r="J414" s="815" t="s">
        <v>139</v>
      </c>
      <c r="K414" s="768"/>
      <c r="L414" s="767">
        <f>Sheet2!B370*Sheet2!$B$344</f>
        <v>46500</v>
      </c>
      <c r="M414" s="769">
        <f t="shared" si="32"/>
        <v>0</v>
      </c>
      <c r="N414" s="765"/>
      <c r="O414" s="814"/>
    </row>
    <row r="415" spans="3:15" ht="15.75">
      <c r="C415" s="826">
        <v>4</v>
      </c>
      <c r="D415" s="806"/>
      <c r="E415" s="854" t="s">
        <v>761</v>
      </c>
      <c r="F415" s="854"/>
      <c r="G415" s="854"/>
      <c r="H415" s="854"/>
      <c r="I415" s="854"/>
      <c r="J415" s="815" t="s">
        <v>139</v>
      </c>
      <c r="K415" s="768">
        <v>2</v>
      </c>
      <c r="L415" s="767">
        <f>Sheet2!B371*Sheet2!$B$344</f>
        <v>88000</v>
      </c>
      <c r="M415" s="769">
        <f t="shared" si="32"/>
        <v>176000</v>
      </c>
      <c r="N415" s="765"/>
      <c r="O415" s="814"/>
    </row>
    <row r="416" spans="3:15" ht="17.25" customHeight="1" hidden="1">
      <c r="C416" s="826">
        <f t="shared" si="33"/>
        <v>5</v>
      </c>
      <c r="D416" s="806"/>
      <c r="E416" s="854" t="s">
        <v>762</v>
      </c>
      <c r="F416" s="854"/>
      <c r="G416" s="854"/>
      <c r="H416" s="854"/>
      <c r="I416" s="854"/>
      <c r="J416" s="815" t="s">
        <v>176</v>
      </c>
      <c r="K416" s="768"/>
      <c r="L416" s="767">
        <f>Sheet2!B372*Sheet2!$B$344</f>
        <v>51320</v>
      </c>
      <c r="M416" s="769">
        <f t="shared" si="32"/>
        <v>0</v>
      </c>
      <c r="N416" s="765"/>
      <c r="O416" s="814"/>
    </row>
    <row r="417" spans="3:15" ht="15.75">
      <c r="C417" s="826">
        <v>6</v>
      </c>
      <c r="D417" s="806"/>
      <c r="E417" s="854" t="s">
        <v>752</v>
      </c>
      <c r="F417" s="854"/>
      <c r="G417" s="854"/>
      <c r="H417" s="854"/>
      <c r="I417" s="854"/>
      <c r="J417" s="815" t="s">
        <v>159</v>
      </c>
      <c r="K417" s="768">
        <v>1</v>
      </c>
      <c r="L417" s="767">
        <v>300000</v>
      </c>
      <c r="M417" s="769">
        <f t="shared" si="32"/>
        <v>300000</v>
      </c>
      <c r="N417" s="765"/>
      <c r="O417" s="814"/>
    </row>
    <row r="418" spans="3:15" ht="17.25" customHeight="1" hidden="1">
      <c r="C418" s="826">
        <f t="shared" si="33"/>
        <v>7</v>
      </c>
      <c r="D418" s="806"/>
      <c r="E418" s="854" t="s">
        <v>763</v>
      </c>
      <c r="F418" s="854"/>
      <c r="G418" s="854"/>
      <c r="H418" s="854"/>
      <c r="I418" s="854"/>
      <c r="J418" s="815" t="s">
        <v>161</v>
      </c>
      <c r="K418" s="768"/>
      <c r="L418" s="767">
        <f>Sheet2!B374*Sheet2!$B$344</f>
        <v>850000</v>
      </c>
      <c r="M418" s="769">
        <f t="shared" si="32"/>
        <v>0</v>
      </c>
      <c r="N418" s="841"/>
      <c r="O418" s="854"/>
    </row>
    <row r="419" spans="3:15" ht="15.75">
      <c r="C419" s="770"/>
      <c r="D419" s="881"/>
      <c r="E419" s="843"/>
      <c r="F419" s="843"/>
      <c r="G419" s="843"/>
      <c r="H419" s="843"/>
      <c r="I419" s="843"/>
      <c r="J419" s="844"/>
      <c r="K419" s="776"/>
      <c r="L419" s="776"/>
      <c r="M419" s="776"/>
      <c r="N419" s="779"/>
      <c r="O419" s="814"/>
    </row>
    <row r="420" spans="3:15" ht="15.75" hidden="1">
      <c r="C420" s="795"/>
      <c r="D420" s="882"/>
      <c r="E420" s="849"/>
      <c r="F420" s="849"/>
      <c r="G420" s="849"/>
      <c r="H420" s="849"/>
      <c r="I420" s="849"/>
      <c r="J420" s="850"/>
      <c r="K420" s="838"/>
      <c r="L420" s="838"/>
      <c r="M420" s="838"/>
      <c r="N420" s="842"/>
      <c r="O420" s="814"/>
    </row>
    <row r="421" spans="3:15" ht="15.75" hidden="1">
      <c r="C421" s="984" t="s">
        <v>188</v>
      </c>
      <c r="D421" s="806"/>
      <c r="E421" s="848" t="s">
        <v>764</v>
      </c>
      <c r="F421" s="854"/>
      <c r="G421" s="854"/>
      <c r="H421" s="854"/>
      <c r="I421" s="854"/>
      <c r="J421" s="815"/>
      <c r="K421" s="768"/>
      <c r="L421" s="768"/>
      <c r="M421" s="768"/>
      <c r="N421" s="765"/>
      <c r="O421" s="814"/>
    </row>
    <row r="422" spans="3:15" ht="15.75" hidden="1">
      <c r="C422" s="826">
        <f>C421+1</f>
        <v>1</v>
      </c>
      <c r="D422" s="806"/>
      <c r="E422" s="854" t="s">
        <v>765</v>
      </c>
      <c r="F422" s="854"/>
      <c r="G422" s="854"/>
      <c r="H422" s="854"/>
      <c r="I422" s="854"/>
      <c r="J422" s="815" t="s">
        <v>161</v>
      </c>
      <c r="K422" s="768"/>
      <c r="L422" s="767">
        <f>Sheet2!B378*Sheet2!$B$344</f>
        <v>900000</v>
      </c>
      <c r="M422" s="769">
        <f>K422*L422</f>
        <v>0</v>
      </c>
      <c r="N422" s="765"/>
      <c r="O422" s="814"/>
    </row>
    <row r="423" spans="3:15" ht="15.75" hidden="1">
      <c r="C423" s="826">
        <f>C422+1</f>
        <v>2</v>
      </c>
      <c r="D423" s="806"/>
      <c r="E423" s="854" t="s">
        <v>766</v>
      </c>
      <c r="F423" s="854"/>
      <c r="G423" s="854"/>
      <c r="H423" s="854"/>
      <c r="I423" s="854"/>
      <c r="J423" s="815" t="s">
        <v>139</v>
      </c>
      <c r="K423" s="768"/>
      <c r="L423" s="767">
        <f>Sheet2!B379*Sheet2!$B$344</f>
        <v>55000</v>
      </c>
      <c r="M423" s="769">
        <f>K423*L423</f>
        <v>0</v>
      </c>
      <c r="N423" s="765"/>
      <c r="O423" s="814"/>
    </row>
    <row r="424" spans="3:15" ht="15.75" hidden="1">
      <c r="C424" s="826">
        <f>C423+1</f>
        <v>3</v>
      </c>
      <c r="D424" s="806"/>
      <c r="E424" s="854" t="s">
        <v>767</v>
      </c>
      <c r="F424" s="854"/>
      <c r="G424" s="854"/>
      <c r="H424" s="854"/>
      <c r="I424" s="854"/>
      <c r="J424" s="815" t="s">
        <v>139</v>
      </c>
      <c r="K424" s="768"/>
      <c r="L424" s="767">
        <f>Sheet2!B380*Sheet2!$B$344</f>
        <v>55000</v>
      </c>
      <c r="M424" s="769">
        <f>K424*L424</f>
        <v>0</v>
      </c>
      <c r="N424" s="765"/>
      <c r="O424" s="814"/>
    </row>
    <row r="425" spans="3:15" ht="15.75" hidden="1">
      <c r="C425" s="826">
        <f>C424+1</f>
        <v>4</v>
      </c>
      <c r="D425" s="806"/>
      <c r="E425" s="854" t="s">
        <v>768</v>
      </c>
      <c r="F425" s="854"/>
      <c r="G425" s="854"/>
      <c r="H425" s="854"/>
      <c r="I425" s="854"/>
      <c r="J425" s="815" t="s">
        <v>461</v>
      </c>
      <c r="K425" s="768"/>
      <c r="L425" s="767">
        <f>Sheet2!B381*Sheet2!$B$344</f>
        <v>195000</v>
      </c>
      <c r="M425" s="769">
        <f>K425*L425</f>
        <v>0</v>
      </c>
      <c r="N425" s="765"/>
      <c r="O425" s="814"/>
    </row>
    <row r="426" spans="3:15" ht="15.75" hidden="1">
      <c r="C426" s="826">
        <f>C425+1</f>
        <v>5</v>
      </c>
      <c r="D426" s="806"/>
      <c r="E426" s="854" t="s">
        <v>769</v>
      </c>
      <c r="F426" s="854"/>
      <c r="G426" s="854"/>
      <c r="H426" s="854"/>
      <c r="I426" s="854"/>
      <c r="J426" s="815" t="s">
        <v>159</v>
      </c>
      <c r="K426" s="768"/>
      <c r="L426" s="767">
        <v>300000</v>
      </c>
      <c r="M426" s="769">
        <f>K426*L426</f>
        <v>0</v>
      </c>
      <c r="N426" s="841"/>
      <c r="O426" s="854"/>
    </row>
    <row r="427" spans="3:15" ht="15.75" hidden="1">
      <c r="C427" s="770"/>
      <c r="D427" s="881"/>
      <c r="E427" s="843"/>
      <c r="F427" s="843"/>
      <c r="G427" s="843"/>
      <c r="H427" s="843"/>
      <c r="I427" s="843"/>
      <c r="J427" s="844"/>
      <c r="K427" s="776"/>
      <c r="L427" s="776"/>
      <c r="M427" s="776"/>
      <c r="N427" s="779"/>
      <c r="O427" s="814"/>
    </row>
    <row r="428" spans="3:15" ht="15.75">
      <c r="C428" s="758"/>
      <c r="D428" s="806"/>
      <c r="E428" s="854"/>
      <c r="F428" s="854"/>
      <c r="G428" s="854"/>
      <c r="H428" s="854"/>
      <c r="I428" s="854"/>
      <c r="J428" s="815"/>
      <c r="K428" s="768"/>
      <c r="L428" s="768"/>
      <c r="M428" s="768"/>
      <c r="N428" s="765"/>
      <c r="O428" s="814"/>
    </row>
    <row r="429" spans="3:15" ht="15.75" hidden="1">
      <c r="C429" s="984" t="s">
        <v>188</v>
      </c>
      <c r="D429" s="806"/>
      <c r="E429" s="848" t="s">
        <v>770</v>
      </c>
      <c r="F429" s="854"/>
      <c r="G429" s="854"/>
      <c r="H429" s="854"/>
      <c r="I429" s="854"/>
      <c r="J429" s="815"/>
      <c r="K429" s="768"/>
      <c r="L429" s="768"/>
      <c r="M429" s="768"/>
      <c r="N429" s="765">
        <f>SUM(M429:M438)</f>
        <v>0</v>
      </c>
      <c r="O429" s="814"/>
    </row>
    <row r="430" spans="3:15" ht="15.75" hidden="1">
      <c r="C430" s="758">
        <f aca="true" t="shared" si="34" ref="C430:C436">C429+1</f>
        <v>1</v>
      </c>
      <c r="D430" s="806"/>
      <c r="E430" s="761" t="s">
        <v>771</v>
      </c>
      <c r="F430" s="761"/>
      <c r="G430" s="761"/>
      <c r="H430" s="761"/>
      <c r="I430" s="761"/>
      <c r="J430" s="815" t="s">
        <v>161</v>
      </c>
      <c r="K430" s="768"/>
      <c r="L430" s="767">
        <f>Sheet2!B386*Sheet2!$B$344</f>
        <v>2750000</v>
      </c>
      <c r="M430" s="767">
        <f aca="true" t="shared" si="35" ref="M430:M437">K430*L430</f>
        <v>0</v>
      </c>
      <c r="N430" s="765"/>
      <c r="O430" s="814"/>
    </row>
    <row r="431" spans="3:15" ht="15.75" hidden="1">
      <c r="C431" s="826">
        <f t="shared" si="34"/>
        <v>2</v>
      </c>
      <c r="D431" s="806"/>
      <c r="E431" s="761" t="s">
        <v>1058</v>
      </c>
      <c r="F431" s="761"/>
      <c r="G431" s="761"/>
      <c r="H431" s="761"/>
      <c r="I431" s="761"/>
      <c r="J431" s="815" t="s">
        <v>161</v>
      </c>
      <c r="K431" s="768"/>
      <c r="L431" s="767">
        <f>Sheet2!B387*Sheet2!$B$344</f>
        <v>250000</v>
      </c>
      <c r="M431" s="767">
        <f t="shared" si="35"/>
        <v>0</v>
      </c>
      <c r="N431" s="765"/>
      <c r="O431" s="814"/>
    </row>
    <row r="432" spans="3:15" ht="15.75" hidden="1">
      <c r="C432" s="826">
        <f t="shared" si="34"/>
        <v>3</v>
      </c>
      <c r="D432" s="806"/>
      <c r="E432" s="761" t="s">
        <v>1059</v>
      </c>
      <c r="F432" s="761"/>
      <c r="G432" s="761"/>
      <c r="H432" s="761"/>
      <c r="I432" s="761"/>
      <c r="J432" s="815" t="s">
        <v>161</v>
      </c>
      <c r="K432" s="768"/>
      <c r="L432" s="767">
        <f>Sheet2!B388*Sheet2!$B$344</f>
        <v>750000</v>
      </c>
      <c r="M432" s="767">
        <f t="shared" si="35"/>
        <v>0</v>
      </c>
      <c r="N432" s="765"/>
      <c r="O432" s="814"/>
    </row>
    <row r="433" spans="3:15" ht="15.75" hidden="1">
      <c r="C433" s="826">
        <v>3</v>
      </c>
      <c r="D433" s="806"/>
      <c r="E433" s="854" t="s">
        <v>772</v>
      </c>
      <c r="F433" s="854"/>
      <c r="G433" s="854"/>
      <c r="H433" s="854"/>
      <c r="I433" s="854"/>
      <c r="J433" s="815" t="s">
        <v>161</v>
      </c>
      <c r="K433" s="768"/>
      <c r="L433" s="767">
        <f>Sheet2!B389*Sheet2!$B$344</f>
        <v>550000</v>
      </c>
      <c r="M433" s="767">
        <f t="shared" si="35"/>
        <v>0</v>
      </c>
      <c r="N433" s="765"/>
      <c r="O433" s="814"/>
    </row>
    <row r="434" spans="3:15" ht="15.75" hidden="1">
      <c r="C434" s="826">
        <f t="shared" si="34"/>
        <v>4</v>
      </c>
      <c r="D434" s="806"/>
      <c r="E434" s="854" t="s">
        <v>773</v>
      </c>
      <c r="F434" s="854"/>
      <c r="G434" s="854"/>
      <c r="H434" s="854"/>
      <c r="I434" s="854"/>
      <c r="J434" s="815" t="s">
        <v>461</v>
      </c>
      <c r="K434" s="768"/>
      <c r="L434" s="767">
        <f>Sheet2!B390*Sheet2!$B$344</f>
        <v>155000</v>
      </c>
      <c r="M434" s="767">
        <f t="shared" si="35"/>
        <v>0</v>
      </c>
      <c r="N434" s="765"/>
      <c r="O434" s="814"/>
    </row>
    <row r="435" spans="3:15" ht="15.75" hidden="1">
      <c r="C435" s="826">
        <f t="shared" si="34"/>
        <v>5</v>
      </c>
      <c r="D435" s="806"/>
      <c r="E435" s="854" t="s">
        <v>774</v>
      </c>
      <c r="F435" s="854"/>
      <c r="G435" s="854"/>
      <c r="H435" s="854"/>
      <c r="I435" s="854"/>
      <c r="J435" s="815" t="s">
        <v>139</v>
      </c>
      <c r="K435" s="768"/>
      <c r="L435" s="767">
        <f>Sheet2!B391*Sheet2!$B$344</f>
        <v>0</v>
      </c>
      <c r="M435" s="767">
        <f t="shared" si="35"/>
        <v>0</v>
      </c>
      <c r="N435" s="765"/>
      <c r="O435" s="814"/>
    </row>
    <row r="436" spans="3:15" ht="15.75" hidden="1">
      <c r="C436" s="826">
        <f t="shared" si="34"/>
        <v>6</v>
      </c>
      <c r="D436" s="806"/>
      <c r="E436" s="854" t="s">
        <v>1056</v>
      </c>
      <c r="F436" s="854"/>
      <c r="G436" s="854"/>
      <c r="H436" s="854"/>
      <c r="I436" s="854"/>
      <c r="J436" s="815" t="s">
        <v>161</v>
      </c>
      <c r="K436" s="768"/>
      <c r="L436" s="767"/>
      <c r="M436" s="767">
        <f t="shared" si="35"/>
        <v>0</v>
      </c>
      <c r="N436" s="841"/>
      <c r="O436" s="854"/>
    </row>
    <row r="437" spans="3:15" ht="15.75" hidden="1">
      <c r="C437" s="826">
        <f>+C434+1</f>
        <v>5</v>
      </c>
      <c r="D437" s="806"/>
      <c r="E437" s="854" t="s">
        <v>1057</v>
      </c>
      <c r="F437" s="854"/>
      <c r="G437" s="854"/>
      <c r="H437" s="854"/>
      <c r="I437" s="854"/>
      <c r="J437" s="815" t="s">
        <v>159</v>
      </c>
      <c r="K437" s="768"/>
      <c r="L437" s="767">
        <v>300000</v>
      </c>
      <c r="M437" s="767">
        <f t="shared" si="35"/>
        <v>0</v>
      </c>
      <c r="N437" s="841"/>
      <c r="O437" s="854"/>
    </row>
    <row r="438" spans="3:15" ht="15.75" hidden="1">
      <c r="C438" s="770"/>
      <c r="D438" s="881"/>
      <c r="E438" s="843"/>
      <c r="F438" s="843"/>
      <c r="G438" s="843"/>
      <c r="H438" s="843"/>
      <c r="I438" s="843"/>
      <c r="J438" s="844"/>
      <c r="K438" s="776"/>
      <c r="L438" s="776"/>
      <c r="M438" s="776"/>
      <c r="N438" s="779"/>
      <c r="O438" s="814"/>
    </row>
    <row r="439" spans="3:15" s="613" customFormat="1" ht="15">
      <c r="C439" s="795"/>
      <c r="D439" s="882"/>
      <c r="E439" s="849"/>
      <c r="F439" s="849"/>
      <c r="G439" s="849"/>
      <c r="H439" s="849"/>
      <c r="I439" s="849"/>
      <c r="J439" s="850"/>
      <c r="K439" s="838"/>
      <c r="L439" s="838"/>
      <c r="M439" s="838"/>
      <c r="N439" s="842"/>
      <c r="O439" s="814"/>
    </row>
    <row r="440" spans="3:15" s="613" customFormat="1" ht="15">
      <c r="C440" s="762" t="s">
        <v>189</v>
      </c>
      <c r="D440" s="806"/>
      <c r="E440" s="848" t="s">
        <v>775</v>
      </c>
      <c r="F440" s="854"/>
      <c r="G440" s="854"/>
      <c r="H440" s="854"/>
      <c r="I440" s="854"/>
      <c r="J440" s="815"/>
      <c r="K440" s="768"/>
      <c r="L440" s="768"/>
      <c r="M440" s="768"/>
      <c r="N440" s="765"/>
      <c r="O440" s="814"/>
    </row>
    <row r="441" spans="3:15" s="613" customFormat="1" ht="15">
      <c r="C441" s="762"/>
      <c r="D441" s="806"/>
      <c r="E441" s="848"/>
      <c r="F441" s="854"/>
      <c r="G441" s="854"/>
      <c r="H441" s="854"/>
      <c r="I441" s="854"/>
      <c r="J441" s="815"/>
      <c r="K441" s="768"/>
      <c r="L441" s="768"/>
      <c r="M441" s="768"/>
      <c r="N441" s="765">
        <f>+SUM(M442:M523)</f>
        <v>10074000</v>
      </c>
      <c r="O441" s="814"/>
    </row>
    <row r="442" spans="3:15" ht="15" customHeight="1">
      <c r="C442" s="826">
        <f>C440+1</f>
        <v>1</v>
      </c>
      <c r="D442" s="806"/>
      <c r="E442" s="854" t="s">
        <v>1015</v>
      </c>
      <c r="F442" s="854"/>
      <c r="G442" s="854"/>
      <c r="H442" s="854"/>
      <c r="I442" s="854"/>
      <c r="J442" s="815" t="s">
        <v>461</v>
      </c>
      <c r="K442" s="768">
        <v>56</v>
      </c>
      <c r="L442" s="767">
        <v>75000</v>
      </c>
      <c r="M442" s="769">
        <f aca="true" t="shared" si="36" ref="M442:M455">K442*L442</f>
        <v>4200000</v>
      </c>
      <c r="N442" s="765"/>
      <c r="O442" s="814"/>
    </row>
    <row r="443" spans="3:15" ht="15" customHeight="1">
      <c r="C443" s="826">
        <f aca="true" t="shared" si="37" ref="C443:C455">C442+1</f>
        <v>2</v>
      </c>
      <c r="D443" s="806"/>
      <c r="E443" s="854" t="s">
        <v>982</v>
      </c>
      <c r="F443" s="854"/>
      <c r="G443" s="854"/>
      <c r="H443" s="854"/>
      <c r="I443" s="854"/>
      <c r="J443" s="815" t="s">
        <v>461</v>
      </c>
      <c r="K443" s="768">
        <v>10</v>
      </c>
      <c r="L443" s="767">
        <v>75000</v>
      </c>
      <c r="M443" s="769">
        <f t="shared" si="36"/>
        <v>750000</v>
      </c>
      <c r="N443" s="765"/>
      <c r="O443" s="814"/>
    </row>
    <row r="444" spans="3:15" ht="15" customHeight="1" hidden="1">
      <c r="C444" s="826">
        <f>C443+1</f>
        <v>3</v>
      </c>
      <c r="D444" s="806"/>
      <c r="E444" s="854" t="s">
        <v>1261</v>
      </c>
      <c r="F444" s="854"/>
      <c r="G444" s="854"/>
      <c r="H444" s="854"/>
      <c r="I444" s="854"/>
      <c r="J444" s="815" t="s">
        <v>139</v>
      </c>
      <c r="K444" s="768"/>
      <c r="L444" s="767">
        <f>Sheet2!B400*Sheet2!$B$344-250000</f>
        <v>152000</v>
      </c>
      <c r="M444" s="769">
        <f t="shared" si="36"/>
        <v>0</v>
      </c>
      <c r="N444" s="765"/>
      <c r="O444" s="814"/>
    </row>
    <row r="445" spans="3:15" ht="15" customHeight="1" hidden="1">
      <c r="C445" s="826">
        <f t="shared" si="37"/>
        <v>4</v>
      </c>
      <c r="D445" s="806"/>
      <c r="E445" s="854" t="s">
        <v>983</v>
      </c>
      <c r="F445" s="854"/>
      <c r="G445" s="854"/>
      <c r="H445" s="854"/>
      <c r="I445" s="854"/>
      <c r="J445" s="815" t="s">
        <v>139</v>
      </c>
      <c r="K445" s="768"/>
      <c r="L445" s="767">
        <f>Sheet2!B401*Sheet2!$B$344</f>
        <v>324000</v>
      </c>
      <c r="M445" s="769">
        <f t="shared" si="36"/>
        <v>0</v>
      </c>
      <c r="N445" s="765"/>
      <c r="O445" s="814"/>
    </row>
    <row r="446" spans="3:15" ht="15" customHeight="1">
      <c r="C446" s="826">
        <v>3</v>
      </c>
      <c r="D446" s="806"/>
      <c r="E446" s="854" t="s">
        <v>1270</v>
      </c>
      <c r="F446" s="854"/>
      <c r="G446" s="854"/>
      <c r="H446" s="854"/>
      <c r="I446" s="854"/>
      <c r="J446" s="815" t="s">
        <v>139</v>
      </c>
      <c r="K446" s="768">
        <v>1</v>
      </c>
      <c r="L446" s="767">
        <f>Sheet2!B402*Sheet2!$B$344</f>
        <v>225000</v>
      </c>
      <c r="M446" s="769">
        <f t="shared" si="36"/>
        <v>225000</v>
      </c>
      <c r="N446" s="765"/>
      <c r="O446" s="814"/>
    </row>
    <row r="447" spans="3:15" ht="15" customHeight="1">
      <c r="C447" s="826">
        <f t="shared" si="37"/>
        <v>4</v>
      </c>
      <c r="D447" s="806"/>
      <c r="E447" s="854" t="s">
        <v>1258</v>
      </c>
      <c r="F447" s="854"/>
      <c r="G447" s="854"/>
      <c r="H447" s="854"/>
      <c r="I447" s="854"/>
      <c r="J447" s="815" t="s">
        <v>139</v>
      </c>
      <c r="K447" s="768">
        <v>54</v>
      </c>
      <c r="L447" s="767">
        <f>Sheet2!B403*Sheet2!$B$344</f>
        <v>75000</v>
      </c>
      <c r="M447" s="769">
        <f t="shared" si="36"/>
        <v>4050000</v>
      </c>
      <c r="N447" s="765"/>
      <c r="O447" s="814"/>
    </row>
    <row r="448" spans="3:15" ht="15" customHeight="1" hidden="1">
      <c r="C448" s="826">
        <f t="shared" si="37"/>
        <v>5</v>
      </c>
      <c r="D448" s="806"/>
      <c r="E448" s="854" t="s">
        <v>984</v>
      </c>
      <c r="F448" s="854"/>
      <c r="G448" s="854"/>
      <c r="H448" s="854"/>
      <c r="I448" s="854"/>
      <c r="J448" s="815" t="s">
        <v>139</v>
      </c>
      <c r="K448" s="768"/>
      <c r="L448" s="767">
        <f>Sheet2!B404*Sheet2!$B$344</f>
        <v>250000</v>
      </c>
      <c r="M448" s="769">
        <f t="shared" si="36"/>
        <v>0</v>
      </c>
      <c r="N448" s="765"/>
      <c r="O448" s="814"/>
    </row>
    <row r="449" spans="3:15" ht="15" customHeight="1">
      <c r="C449" s="826">
        <v>5</v>
      </c>
      <c r="D449" s="806"/>
      <c r="E449" s="854" t="s">
        <v>506</v>
      </c>
      <c r="F449" s="854"/>
      <c r="G449" s="854"/>
      <c r="H449" s="854"/>
      <c r="I449" s="854"/>
      <c r="J449" s="815" t="s">
        <v>139</v>
      </c>
      <c r="K449" s="768">
        <v>1</v>
      </c>
      <c r="L449" s="767">
        <f>Sheet2!B405*Sheet2!$B$344</f>
        <v>28000</v>
      </c>
      <c r="M449" s="769">
        <f t="shared" si="36"/>
        <v>28000</v>
      </c>
      <c r="N449" s="765"/>
      <c r="O449" s="814"/>
    </row>
    <row r="450" spans="3:15" ht="15" customHeight="1" hidden="1">
      <c r="C450" s="826">
        <f t="shared" si="37"/>
        <v>6</v>
      </c>
      <c r="D450" s="806"/>
      <c r="E450" s="854" t="s">
        <v>985</v>
      </c>
      <c r="F450" s="854"/>
      <c r="G450" s="854"/>
      <c r="H450" s="854"/>
      <c r="I450" s="854"/>
      <c r="J450" s="815" t="s">
        <v>139</v>
      </c>
      <c r="K450" s="768"/>
      <c r="L450" s="767">
        <f>Sheet2!B406*Sheet2!$B$344</f>
        <v>6000</v>
      </c>
      <c r="M450" s="769">
        <f t="shared" si="36"/>
        <v>0</v>
      </c>
      <c r="N450" s="765"/>
      <c r="O450" s="814"/>
    </row>
    <row r="451" spans="3:15" ht="15" customHeight="1">
      <c r="C451" s="826">
        <v>6</v>
      </c>
      <c r="D451" s="806"/>
      <c r="E451" s="854" t="s">
        <v>986</v>
      </c>
      <c r="F451" s="854"/>
      <c r="G451" s="854"/>
      <c r="H451" s="854"/>
      <c r="I451" s="854"/>
      <c r="J451" s="815" t="s">
        <v>139</v>
      </c>
      <c r="K451" s="768">
        <v>5</v>
      </c>
      <c r="L451" s="767">
        <f>Sheet2!B407*Sheet2!$B$344</f>
        <v>18000</v>
      </c>
      <c r="M451" s="769">
        <f t="shared" si="36"/>
        <v>90000</v>
      </c>
      <c r="N451" s="765"/>
      <c r="O451" s="814"/>
    </row>
    <row r="452" spans="3:15" ht="15" customHeight="1">
      <c r="C452" s="826">
        <f t="shared" si="37"/>
        <v>7</v>
      </c>
      <c r="D452" s="806"/>
      <c r="E452" s="854" t="s">
        <v>987</v>
      </c>
      <c r="F452" s="854"/>
      <c r="G452" s="854"/>
      <c r="H452" s="854"/>
      <c r="I452" s="854"/>
      <c r="J452" s="815" t="s">
        <v>139</v>
      </c>
      <c r="K452" s="768">
        <v>12</v>
      </c>
      <c r="L452" s="767">
        <f>Sheet2!B408*Sheet2!$B$344</f>
        <v>20500</v>
      </c>
      <c r="M452" s="769">
        <f t="shared" si="36"/>
        <v>246000</v>
      </c>
      <c r="N452" s="765"/>
      <c r="O452" s="814"/>
    </row>
    <row r="453" spans="3:15" ht="15" customHeight="1" hidden="1">
      <c r="C453" s="826">
        <f t="shared" si="37"/>
        <v>8</v>
      </c>
      <c r="D453" s="806"/>
      <c r="E453" s="854" t="s">
        <v>1259</v>
      </c>
      <c r="F453" s="854"/>
      <c r="G453" s="854"/>
      <c r="H453" s="854"/>
      <c r="I453" s="854"/>
      <c r="J453" s="815" t="s">
        <v>139</v>
      </c>
      <c r="K453" s="768"/>
      <c r="L453" s="767">
        <v>75000</v>
      </c>
      <c r="M453" s="769">
        <f>K453*L453</f>
        <v>0</v>
      </c>
      <c r="N453" s="765"/>
      <c r="O453" s="814"/>
    </row>
    <row r="454" spans="3:15" ht="15" customHeight="1">
      <c r="C454" s="826">
        <v>8</v>
      </c>
      <c r="D454" s="806"/>
      <c r="E454" s="854" t="s">
        <v>493</v>
      </c>
      <c r="F454" s="854"/>
      <c r="G454" s="854"/>
      <c r="H454" s="854"/>
      <c r="I454" s="854"/>
      <c r="J454" s="815" t="s">
        <v>139</v>
      </c>
      <c r="K454" s="768">
        <v>10</v>
      </c>
      <c r="L454" s="767">
        <f>Sheet2!B409*Sheet2!$B$344</f>
        <v>18500</v>
      </c>
      <c r="M454" s="769">
        <f t="shared" si="36"/>
        <v>185000</v>
      </c>
      <c r="N454" s="765"/>
      <c r="O454" s="814"/>
    </row>
    <row r="455" spans="3:15" ht="15" customHeight="1">
      <c r="C455" s="826">
        <f t="shared" si="37"/>
        <v>9</v>
      </c>
      <c r="D455" s="806"/>
      <c r="E455" s="854" t="s">
        <v>988</v>
      </c>
      <c r="F455" s="854"/>
      <c r="G455" s="854"/>
      <c r="H455" s="854"/>
      <c r="I455" s="854"/>
      <c r="J455" s="815" t="s">
        <v>159</v>
      </c>
      <c r="K455" s="768">
        <v>1</v>
      </c>
      <c r="L455" s="767">
        <v>300000</v>
      </c>
      <c r="M455" s="769">
        <f t="shared" si="36"/>
        <v>300000</v>
      </c>
      <c r="N455" s="765"/>
      <c r="O455" s="814"/>
    </row>
    <row r="456" spans="3:15" ht="15.75">
      <c r="C456" s="758"/>
      <c r="D456" s="806"/>
      <c r="E456" s="854"/>
      <c r="F456" s="854"/>
      <c r="G456" s="854"/>
      <c r="H456" s="854"/>
      <c r="I456" s="854"/>
      <c r="J456" s="815"/>
      <c r="K456" s="768"/>
      <c r="L456" s="768"/>
      <c r="M456" s="768"/>
      <c r="N456" s="765"/>
      <c r="O456" s="814"/>
    </row>
    <row r="457" spans="3:15" ht="15.75" hidden="1">
      <c r="C457" s="762"/>
      <c r="D457" s="806"/>
      <c r="E457" s="848" t="s">
        <v>777</v>
      </c>
      <c r="F457" s="854"/>
      <c r="G457" s="854"/>
      <c r="H457" s="854"/>
      <c r="I457" s="854"/>
      <c r="J457" s="815"/>
      <c r="K457" s="768"/>
      <c r="L457" s="768"/>
      <c r="M457" s="768"/>
      <c r="N457" s="765"/>
      <c r="O457" s="814"/>
    </row>
    <row r="458" spans="3:15" ht="15.75" hidden="1">
      <c r="C458" s="762"/>
      <c r="D458" s="806"/>
      <c r="E458" s="848" t="s">
        <v>989</v>
      </c>
      <c r="F458" s="854"/>
      <c r="G458" s="854"/>
      <c r="H458" s="854"/>
      <c r="I458" s="854"/>
      <c r="J458" s="815"/>
      <c r="K458" s="768"/>
      <c r="L458" s="768"/>
      <c r="M458" s="768"/>
      <c r="N458" s="765">
        <f>SUM(M459:M474)</f>
        <v>0</v>
      </c>
      <c r="O458" s="814"/>
    </row>
    <row r="459" spans="3:15" ht="15.75" hidden="1">
      <c r="C459" s="826">
        <f aca="true" t="shared" si="38" ref="C459:C472">C458+1</f>
        <v>1</v>
      </c>
      <c r="D459" s="806"/>
      <c r="E459" s="854" t="s">
        <v>1114</v>
      </c>
      <c r="F459" s="854"/>
      <c r="G459" s="854"/>
      <c r="H459" s="854"/>
      <c r="I459" s="854"/>
      <c r="J459" s="883" t="s">
        <v>161</v>
      </c>
      <c r="K459" s="768"/>
      <c r="L459" s="767">
        <f>Sheet2!B414*Sheet2!$B$344</f>
        <v>1680000</v>
      </c>
      <c r="M459" s="769">
        <f aca="true" t="shared" si="39" ref="M459:M472">K459*L459</f>
        <v>0</v>
      </c>
      <c r="N459" s="765"/>
      <c r="O459" s="814"/>
    </row>
    <row r="460" spans="3:15" ht="15.75" hidden="1">
      <c r="C460" s="826">
        <f t="shared" si="38"/>
        <v>2</v>
      </c>
      <c r="D460" s="806"/>
      <c r="E460" s="854" t="s">
        <v>996</v>
      </c>
      <c r="F460" s="854"/>
      <c r="G460" s="854"/>
      <c r="H460" s="854"/>
      <c r="I460" s="854"/>
      <c r="J460" s="815" t="s">
        <v>139</v>
      </c>
      <c r="K460" s="768"/>
      <c r="L460" s="767">
        <f>Sheet2!B415*Sheet2!$B$344</f>
        <v>810000</v>
      </c>
      <c r="M460" s="769">
        <f t="shared" si="39"/>
        <v>0</v>
      </c>
      <c r="N460" s="765"/>
      <c r="O460" s="814"/>
    </row>
    <row r="461" spans="3:15" ht="15.75" hidden="1">
      <c r="C461" s="826">
        <f t="shared" si="38"/>
        <v>3</v>
      </c>
      <c r="D461" s="806"/>
      <c r="E461" s="854" t="s">
        <v>997</v>
      </c>
      <c r="F461" s="854"/>
      <c r="G461" s="854"/>
      <c r="H461" s="854"/>
      <c r="I461" s="854"/>
      <c r="J461" s="815" t="s">
        <v>139</v>
      </c>
      <c r="K461" s="768"/>
      <c r="L461" s="767">
        <f>Sheet2!B416*Sheet2!$B$344</f>
        <v>810000</v>
      </c>
      <c r="M461" s="769">
        <f t="shared" si="39"/>
        <v>0</v>
      </c>
      <c r="N461" s="765"/>
      <c r="O461" s="814"/>
    </row>
    <row r="462" spans="3:15" ht="15.75" hidden="1">
      <c r="C462" s="826">
        <f t="shared" si="38"/>
        <v>4</v>
      </c>
      <c r="D462" s="806"/>
      <c r="E462" s="854" t="s">
        <v>998</v>
      </c>
      <c r="F462" s="854"/>
      <c r="G462" s="854"/>
      <c r="H462" s="854"/>
      <c r="I462" s="854"/>
      <c r="J462" s="815" t="s">
        <v>139</v>
      </c>
      <c r="K462" s="768"/>
      <c r="L462" s="767">
        <f>Sheet2!B417*Sheet2!$B$344</f>
        <v>785000</v>
      </c>
      <c r="M462" s="769">
        <f t="shared" si="39"/>
        <v>0</v>
      </c>
      <c r="N462" s="765"/>
      <c r="O462" s="814"/>
    </row>
    <row r="463" spans="3:15" ht="15.75" hidden="1">
      <c r="C463" s="826">
        <f t="shared" si="38"/>
        <v>5</v>
      </c>
      <c r="D463" s="806"/>
      <c r="E463" s="854" t="s">
        <v>999</v>
      </c>
      <c r="F463" s="854"/>
      <c r="G463" s="854"/>
      <c r="H463" s="854"/>
      <c r="I463" s="854"/>
      <c r="J463" s="815" t="s">
        <v>139</v>
      </c>
      <c r="K463" s="768"/>
      <c r="L463" s="767">
        <f>Sheet2!B418*Sheet2!$B$344</f>
        <v>810000</v>
      </c>
      <c r="M463" s="769">
        <f t="shared" si="39"/>
        <v>0</v>
      </c>
      <c r="N463" s="765"/>
      <c r="O463" s="814"/>
    </row>
    <row r="464" spans="3:15" ht="15.75" hidden="1">
      <c r="C464" s="826">
        <f t="shared" si="38"/>
        <v>6</v>
      </c>
      <c r="D464" s="806"/>
      <c r="E464" s="854" t="s">
        <v>990</v>
      </c>
      <c r="F464" s="854"/>
      <c r="G464" s="854"/>
      <c r="H464" s="854"/>
      <c r="I464" s="854"/>
      <c r="J464" s="815" t="s">
        <v>1001</v>
      </c>
      <c r="K464" s="768"/>
      <c r="L464" s="767">
        <f>Sheet2!B419*Sheet2!$B$344</f>
        <v>385000</v>
      </c>
      <c r="M464" s="769">
        <f t="shared" si="39"/>
        <v>0</v>
      </c>
      <c r="N464" s="765"/>
      <c r="O464" s="814"/>
    </row>
    <row r="465" spans="3:15" ht="15.75" hidden="1">
      <c r="C465" s="826">
        <f t="shared" si="38"/>
        <v>7</v>
      </c>
      <c r="D465" s="806"/>
      <c r="E465" s="854" t="s">
        <v>991</v>
      </c>
      <c r="F465" s="854"/>
      <c r="G465" s="854"/>
      <c r="H465" s="854"/>
      <c r="I465" s="854"/>
      <c r="J465" s="815" t="s">
        <v>139</v>
      </c>
      <c r="K465" s="768"/>
      <c r="L465" s="767">
        <f>Sheet2!B420*Sheet2!$B$344</f>
        <v>165000</v>
      </c>
      <c r="M465" s="769">
        <f t="shared" si="39"/>
        <v>0</v>
      </c>
      <c r="N465" s="765"/>
      <c r="O465" s="814"/>
    </row>
    <row r="466" spans="3:15" ht="15.75" hidden="1">
      <c r="C466" s="826">
        <f t="shared" si="38"/>
        <v>8</v>
      </c>
      <c r="D466" s="806"/>
      <c r="E466" s="854" t="s">
        <v>498</v>
      </c>
      <c r="F466" s="854"/>
      <c r="G466" s="854"/>
      <c r="H466" s="854"/>
      <c r="I466" s="854"/>
      <c r="J466" s="815" t="s">
        <v>139</v>
      </c>
      <c r="K466" s="768"/>
      <c r="L466" s="767">
        <f>Sheet2!B421*Sheet2!$B$344</f>
        <v>27000</v>
      </c>
      <c r="M466" s="769">
        <f t="shared" si="39"/>
        <v>0</v>
      </c>
      <c r="N466" s="765"/>
      <c r="O466" s="814"/>
    </row>
    <row r="467" spans="3:15" ht="15.75" hidden="1">
      <c r="C467" s="826">
        <f t="shared" si="38"/>
        <v>9</v>
      </c>
      <c r="D467" s="806"/>
      <c r="E467" s="854" t="s">
        <v>993</v>
      </c>
      <c r="F467" s="854"/>
      <c r="G467" s="854"/>
      <c r="H467" s="854"/>
      <c r="I467" s="854"/>
      <c r="J467" s="815" t="s">
        <v>139</v>
      </c>
      <c r="K467" s="768"/>
      <c r="L467" s="767">
        <f>Sheet2!B422*Sheet2!$B$344</f>
        <v>175500</v>
      </c>
      <c r="M467" s="769">
        <f t="shared" si="39"/>
        <v>0</v>
      </c>
      <c r="N467" s="765"/>
      <c r="O467" s="814"/>
    </row>
    <row r="468" spans="3:15" ht="15.75" hidden="1">
      <c r="C468" s="826">
        <f t="shared" si="38"/>
        <v>10</v>
      </c>
      <c r="D468" s="806"/>
      <c r="E468" s="817" t="s">
        <v>1000</v>
      </c>
      <c r="F468" s="854"/>
      <c r="G468" s="854"/>
      <c r="H468" s="854"/>
      <c r="I468" s="854"/>
      <c r="J468" s="815" t="s">
        <v>139</v>
      </c>
      <c r="K468" s="768"/>
      <c r="L468" s="767">
        <f>Sheet2!B423*Sheet2!$B$344</f>
        <v>81000</v>
      </c>
      <c r="M468" s="769">
        <f t="shared" si="39"/>
        <v>0</v>
      </c>
      <c r="N468" s="765"/>
      <c r="O468" s="814"/>
    </row>
    <row r="469" spans="3:15" ht="15.75" hidden="1">
      <c r="C469" s="826">
        <f t="shared" si="38"/>
        <v>11</v>
      </c>
      <c r="D469" s="806"/>
      <c r="E469" s="854" t="s">
        <v>994</v>
      </c>
      <c r="F469" s="854"/>
      <c r="G469" s="854"/>
      <c r="H469" s="854"/>
      <c r="I469" s="854"/>
      <c r="J469" s="815" t="s">
        <v>139</v>
      </c>
      <c r="K469" s="768"/>
      <c r="L469" s="767">
        <f>Sheet2!B424*Sheet2!$B$344</f>
        <v>67500</v>
      </c>
      <c r="M469" s="769">
        <f t="shared" si="39"/>
        <v>0</v>
      </c>
      <c r="N469" s="765"/>
      <c r="O469" s="814"/>
    </row>
    <row r="470" spans="3:15" ht="15.75" hidden="1">
      <c r="C470" s="826">
        <f t="shared" si="38"/>
        <v>12</v>
      </c>
      <c r="D470" s="806"/>
      <c r="E470" s="854" t="s">
        <v>995</v>
      </c>
      <c r="F470" s="854"/>
      <c r="G470" s="854"/>
      <c r="H470" s="854"/>
      <c r="I470" s="854"/>
      <c r="J470" s="815" t="s">
        <v>139</v>
      </c>
      <c r="K470" s="768"/>
      <c r="L470" s="767">
        <f>Sheet2!B425*Sheet2!$B$344</f>
        <v>108000</v>
      </c>
      <c r="M470" s="769">
        <f t="shared" si="39"/>
        <v>0</v>
      </c>
      <c r="N470" s="765"/>
      <c r="O470" s="814"/>
    </row>
    <row r="471" spans="3:15" ht="15.75" hidden="1">
      <c r="C471" s="826">
        <f t="shared" si="38"/>
        <v>13</v>
      </c>
      <c r="D471" s="806"/>
      <c r="E471" s="854" t="s">
        <v>992</v>
      </c>
      <c r="F471" s="854"/>
      <c r="G471" s="854"/>
      <c r="H471" s="854"/>
      <c r="I471" s="854"/>
      <c r="J471" s="815" t="s">
        <v>981</v>
      </c>
      <c r="K471" s="768"/>
      <c r="L471" s="767">
        <f>Sheet2!B426*Sheet2!$B$344</f>
        <v>810000</v>
      </c>
      <c r="M471" s="769">
        <f t="shared" si="39"/>
        <v>0</v>
      </c>
      <c r="N471" s="765"/>
      <c r="O471" s="814"/>
    </row>
    <row r="472" spans="3:15" ht="15.75" hidden="1">
      <c r="C472" s="826">
        <f t="shared" si="38"/>
        <v>14</v>
      </c>
      <c r="D472" s="806"/>
      <c r="E472" s="854" t="s">
        <v>499</v>
      </c>
      <c r="F472" s="854"/>
      <c r="G472" s="854"/>
      <c r="H472" s="854"/>
      <c r="I472" s="854"/>
      <c r="J472" s="815" t="s">
        <v>161</v>
      </c>
      <c r="K472" s="768"/>
      <c r="L472" s="767">
        <v>500000</v>
      </c>
      <c r="M472" s="769">
        <f t="shared" si="39"/>
        <v>0</v>
      </c>
      <c r="N472" s="765"/>
      <c r="O472" s="814"/>
    </row>
    <row r="473" spans="3:15" ht="15.75" hidden="1">
      <c r="C473" s="826"/>
      <c r="D473" s="806"/>
      <c r="E473" s="817"/>
      <c r="F473" s="854"/>
      <c r="G473" s="854"/>
      <c r="H473" s="854"/>
      <c r="I473" s="854"/>
      <c r="J473" s="815"/>
      <c r="K473" s="768"/>
      <c r="L473" s="767"/>
      <c r="M473" s="769"/>
      <c r="N473" s="765"/>
      <c r="O473" s="814"/>
    </row>
    <row r="474" spans="3:15" ht="15.75" hidden="1">
      <c r="C474" s="826"/>
      <c r="D474" s="806"/>
      <c r="E474" s="817"/>
      <c r="F474" s="854"/>
      <c r="G474" s="854"/>
      <c r="H474" s="854"/>
      <c r="I474" s="854"/>
      <c r="J474" s="815"/>
      <c r="K474" s="768"/>
      <c r="L474" s="767"/>
      <c r="M474" s="769"/>
      <c r="N474" s="765"/>
      <c r="O474" s="814"/>
    </row>
    <row r="475" spans="3:15" ht="15.75" hidden="1">
      <c r="C475" s="826"/>
      <c r="D475" s="806"/>
      <c r="E475" s="854"/>
      <c r="F475" s="854"/>
      <c r="G475" s="854"/>
      <c r="H475" s="854"/>
      <c r="I475" s="854"/>
      <c r="J475" s="815"/>
      <c r="K475" s="768"/>
      <c r="L475" s="767"/>
      <c r="M475" s="769"/>
      <c r="N475" s="765"/>
      <c r="O475" s="814"/>
    </row>
    <row r="476" spans="3:15" ht="15.75" hidden="1">
      <c r="C476" s="762"/>
      <c r="D476" s="806"/>
      <c r="E476" s="848" t="s">
        <v>1004</v>
      </c>
      <c r="F476" s="854"/>
      <c r="G476" s="854"/>
      <c r="H476" s="854"/>
      <c r="I476" s="854"/>
      <c r="J476" s="815"/>
      <c r="K476" s="768"/>
      <c r="L476" s="767"/>
      <c r="M476" s="768"/>
      <c r="N476" s="765">
        <f>SUM(M477:M487)</f>
        <v>0</v>
      </c>
      <c r="O476" s="814"/>
    </row>
    <row r="477" spans="3:15" ht="15.75" hidden="1">
      <c r="C477" s="826">
        <f aca="true" t="shared" si="40" ref="C477:C485">C476+1</f>
        <v>1</v>
      </c>
      <c r="D477" s="806"/>
      <c r="E477" s="854" t="s">
        <v>1115</v>
      </c>
      <c r="F477" s="854"/>
      <c r="G477" s="854"/>
      <c r="H477" s="854"/>
      <c r="I477" s="854"/>
      <c r="J477" s="883" t="s">
        <v>161</v>
      </c>
      <c r="K477" s="768"/>
      <c r="L477" s="767">
        <f>Sheet2!B432*Sheet2!$B$344</f>
        <v>840000</v>
      </c>
      <c r="M477" s="769">
        <f aca="true" t="shared" si="41" ref="M477:M485">K477*L477</f>
        <v>0</v>
      </c>
      <c r="N477" s="765"/>
      <c r="O477" s="814"/>
    </row>
    <row r="478" spans="3:15" ht="15.75" hidden="1">
      <c r="C478" s="826">
        <f t="shared" si="40"/>
        <v>2</v>
      </c>
      <c r="D478" s="806"/>
      <c r="E478" s="854" t="s">
        <v>1002</v>
      </c>
      <c r="F478" s="854"/>
      <c r="G478" s="854"/>
      <c r="H478" s="854"/>
      <c r="I478" s="854"/>
      <c r="J478" s="815" t="s">
        <v>139</v>
      </c>
      <c r="K478" s="768"/>
      <c r="L478" s="767">
        <f>Sheet2!B433*Sheet2!$B$344</f>
        <v>49250</v>
      </c>
      <c r="M478" s="769">
        <f t="shared" si="41"/>
        <v>0</v>
      </c>
      <c r="N478" s="765"/>
      <c r="O478" s="814"/>
    </row>
    <row r="479" spans="3:15" ht="15.75" hidden="1">
      <c r="C479" s="826">
        <f t="shared" si="40"/>
        <v>3</v>
      </c>
      <c r="D479" s="806"/>
      <c r="E479" s="854" t="s">
        <v>1005</v>
      </c>
      <c r="F479" s="854"/>
      <c r="G479" s="854"/>
      <c r="H479" s="854"/>
      <c r="I479" s="854"/>
      <c r="J479" s="815" t="s">
        <v>139</v>
      </c>
      <c r="K479" s="768"/>
      <c r="L479" s="767">
        <f>L478</f>
        <v>49250</v>
      </c>
      <c r="M479" s="769">
        <f t="shared" si="41"/>
        <v>0</v>
      </c>
      <c r="N479" s="765"/>
      <c r="O479" s="814"/>
    </row>
    <row r="480" spans="3:15" ht="15.75" hidden="1">
      <c r="C480" s="826">
        <f t="shared" si="40"/>
        <v>4</v>
      </c>
      <c r="D480" s="806"/>
      <c r="E480" s="854" t="s">
        <v>1003</v>
      </c>
      <c r="F480" s="854"/>
      <c r="G480" s="854"/>
      <c r="H480" s="854"/>
      <c r="I480" s="854"/>
      <c r="J480" s="815" t="s">
        <v>139</v>
      </c>
      <c r="K480" s="768"/>
      <c r="L480" s="767">
        <f>Sheet2!B435*Sheet2!$B$344</f>
        <v>810000</v>
      </c>
      <c r="M480" s="769">
        <f t="shared" si="41"/>
        <v>0</v>
      </c>
      <c r="N480" s="765"/>
      <c r="O480" s="814"/>
    </row>
    <row r="481" spans="3:15" ht="15.75" hidden="1">
      <c r="C481" s="826">
        <f t="shared" si="40"/>
        <v>5</v>
      </c>
      <c r="D481" s="806"/>
      <c r="E481" s="854" t="s">
        <v>498</v>
      </c>
      <c r="F481" s="854"/>
      <c r="G481" s="854"/>
      <c r="H481" s="854"/>
      <c r="I481" s="854"/>
      <c r="J481" s="815" t="s">
        <v>139</v>
      </c>
      <c r="K481" s="768"/>
      <c r="L481" s="767">
        <f>Sheet2!B436*Sheet2!$B$344</f>
        <v>32000</v>
      </c>
      <c r="M481" s="769">
        <f t="shared" si="41"/>
        <v>0</v>
      </c>
      <c r="N481" s="765"/>
      <c r="O481" s="814"/>
    </row>
    <row r="482" spans="3:15" ht="15.75" hidden="1">
      <c r="C482" s="826">
        <f t="shared" si="40"/>
        <v>6</v>
      </c>
      <c r="D482" s="806"/>
      <c r="E482" s="854" t="s">
        <v>990</v>
      </c>
      <c r="F482" s="854"/>
      <c r="G482" s="854"/>
      <c r="H482" s="854"/>
      <c r="I482" s="854"/>
      <c r="J482" s="815" t="s">
        <v>1001</v>
      </c>
      <c r="K482" s="768"/>
      <c r="L482" s="767">
        <f>Sheet2!B437*Sheet2!$B$344</f>
        <v>385000</v>
      </c>
      <c r="M482" s="769">
        <f t="shared" si="41"/>
        <v>0</v>
      </c>
      <c r="N482" s="765"/>
      <c r="O482" s="814"/>
    </row>
    <row r="483" spans="3:15" ht="15.75" hidden="1">
      <c r="C483" s="826">
        <f t="shared" si="40"/>
        <v>7</v>
      </c>
      <c r="D483" s="806"/>
      <c r="E483" s="854" t="s">
        <v>991</v>
      </c>
      <c r="F483" s="854"/>
      <c r="G483" s="854"/>
      <c r="H483" s="854"/>
      <c r="I483" s="854"/>
      <c r="J483" s="815" t="s">
        <v>139</v>
      </c>
      <c r="K483" s="768"/>
      <c r="L483" s="767">
        <f>Sheet2!B438*Sheet2!$B$344</f>
        <v>165000</v>
      </c>
      <c r="M483" s="769">
        <f t="shared" si="41"/>
        <v>0</v>
      </c>
      <c r="N483" s="765"/>
      <c r="O483" s="814"/>
    </row>
    <row r="484" spans="3:15" ht="15.75" hidden="1">
      <c r="C484" s="826">
        <f t="shared" si="40"/>
        <v>8</v>
      </c>
      <c r="D484" s="806"/>
      <c r="E484" s="854" t="s">
        <v>992</v>
      </c>
      <c r="F484" s="854"/>
      <c r="G484" s="854"/>
      <c r="H484" s="854"/>
      <c r="I484" s="854"/>
      <c r="J484" s="815" t="s">
        <v>981</v>
      </c>
      <c r="K484" s="768"/>
      <c r="L484" s="767">
        <f>Sheet2!B439*Sheet2!$B$344</f>
        <v>810000</v>
      </c>
      <c r="M484" s="769">
        <f t="shared" si="41"/>
        <v>0</v>
      </c>
      <c r="N484" s="765"/>
      <c r="O484" s="814"/>
    </row>
    <row r="485" spans="3:15" ht="15.75" hidden="1">
      <c r="C485" s="826">
        <f t="shared" si="40"/>
        <v>9</v>
      </c>
      <c r="D485" s="806"/>
      <c r="E485" s="854" t="s">
        <v>499</v>
      </c>
      <c r="F485" s="854"/>
      <c r="G485" s="854"/>
      <c r="H485" s="854"/>
      <c r="I485" s="854"/>
      <c r="J485" s="815" t="s">
        <v>161</v>
      </c>
      <c r="K485" s="768"/>
      <c r="L485" s="767">
        <v>500000</v>
      </c>
      <c r="M485" s="769">
        <f t="shared" si="41"/>
        <v>0</v>
      </c>
      <c r="N485" s="765"/>
      <c r="O485" s="814"/>
    </row>
    <row r="486" spans="3:15" ht="15.75" hidden="1">
      <c r="C486" s="826"/>
      <c r="D486" s="806"/>
      <c r="E486" s="817"/>
      <c r="F486" s="854"/>
      <c r="G486" s="854"/>
      <c r="H486" s="854"/>
      <c r="I486" s="854"/>
      <c r="J486" s="815"/>
      <c r="K486" s="768"/>
      <c r="L486" s="767"/>
      <c r="M486" s="769"/>
      <c r="N486" s="765"/>
      <c r="O486" s="814"/>
    </row>
    <row r="487" spans="3:15" ht="15.75" hidden="1">
      <c r="C487" s="819"/>
      <c r="D487" s="881"/>
      <c r="E487" s="843"/>
      <c r="F487" s="843"/>
      <c r="G487" s="843"/>
      <c r="H487" s="843"/>
      <c r="I487" s="843"/>
      <c r="J487" s="844"/>
      <c r="K487" s="776"/>
      <c r="L487" s="774"/>
      <c r="M487" s="775"/>
      <c r="N487" s="779"/>
      <c r="O487" s="814"/>
    </row>
    <row r="488" spans="3:15" ht="15.75" hidden="1">
      <c r="C488" s="826"/>
      <c r="D488" s="806"/>
      <c r="E488" s="854"/>
      <c r="F488" s="854"/>
      <c r="G488" s="854"/>
      <c r="H488" s="854"/>
      <c r="I488" s="854"/>
      <c r="J488" s="815"/>
      <c r="K488" s="768"/>
      <c r="L488" s="767"/>
      <c r="M488" s="769"/>
      <c r="N488" s="765"/>
      <c r="O488" s="814"/>
    </row>
    <row r="489" spans="3:15" ht="15.75" hidden="1">
      <c r="C489" s="762"/>
      <c r="D489" s="806"/>
      <c r="E489" s="848" t="s">
        <v>1006</v>
      </c>
      <c r="F489" s="854"/>
      <c r="G489" s="854"/>
      <c r="H489" s="854"/>
      <c r="I489" s="854"/>
      <c r="J489" s="815"/>
      <c r="K489" s="768"/>
      <c r="L489" s="767"/>
      <c r="M489" s="768"/>
      <c r="N489" s="765">
        <f>SUM(M490:M498)*0</f>
        <v>0</v>
      </c>
      <c r="O489" s="814"/>
    </row>
    <row r="490" spans="3:15" ht="15.75" hidden="1">
      <c r="C490" s="826">
        <f aca="true" t="shared" si="42" ref="C490:C496">C489+1</f>
        <v>1</v>
      </c>
      <c r="D490" s="806"/>
      <c r="E490" s="854" t="s">
        <v>1116</v>
      </c>
      <c r="F490" s="854"/>
      <c r="G490" s="854"/>
      <c r="H490" s="854"/>
      <c r="I490" s="854"/>
      <c r="J490" s="815" t="s">
        <v>139</v>
      </c>
      <c r="K490" s="768"/>
      <c r="L490" s="767">
        <f>Sheet2!B445*Sheet2!$B$344*0</f>
        <v>0</v>
      </c>
      <c r="M490" s="769">
        <f aca="true" t="shared" si="43" ref="M490:M496">K490*L490</f>
        <v>0</v>
      </c>
      <c r="N490" s="883" t="s">
        <v>1146</v>
      </c>
      <c r="O490" s="1032"/>
    </row>
    <row r="491" spans="3:15" ht="15.75" hidden="1">
      <c r="C491" s="826">
        <f t="shared" si="42"/>
        <v>2</v>
      </c>
      <c r="D491" s="806"/>
      <c r="E491" s="854" t="s">
        <v>1007</v>
      </c>
      <c r="F491" s="854"/>
      <c r="G491" s="854"/>
      <c r="H491" s="854"/>
      <c r="I491" s="854"/>
      <c r="J491" s="815" t="s">
        <v>139</v>
      </c>
      <c r="K491" s="768"/>
      <c r="L491" s="767">
        <f>Sheet2!B446*Sheet2!$B$344*0</f>
        <v>0</v>
      </c>
      <c r="M491" s="769">
        <f t="shared" si="43"/>
        <v>0</v>
      </c>
      <c r="N491" s="883" t="s">
        <v>1146</v>
      </c>
      <c r="O491" s="1032"/>
    </row>
    <row r="492" spans="3:15" ht="15.75" hidden="1">
      <c r="C492" s="826">
        <f t="shared" si="42"/>
        <v>3</v>
      </c>
      <c r="D492" s="806"/>
      <c r="E492" s="854" t="s">
        <v>1008</v>
      </c>
      <c r="F492" s="854"/>
      <c r="G492" s="854"/>
      <c r="H492" s="854"/>
      <c r="I492" s="854"/>
      <c r="J492" s="815" t="s">
        <v>139</v>
      </c>
      <c r="K492" s="768"/>
      <c r="L492" s="767">
        <f>Sheet2!B447*Sheet2!$B$344*0</f>
        <v>0</v>
      </c>
      <c r="M492" s="769">
        <f t="shared" si="43"/>
        <v>0</v>
      </c>
      <c r="N492" s="883" t="s">
        <v>1146</v>
      </c>
      <c r="O492" s="1032"/>
    </row>
    <row r="493" spans="3:15" ht="15.75" hidden="1">
      <c r="C493" s="826">
        <f t="shared" si="42"/>
        <v>4</v>
      </c>
      <c r="D493" s="806"/>
      <c r="E493" s="854" t="s">
        <v>990</v>
      </c>
      <c r="F493" s="854"/>
      <c r="G493" s="854"/>
      <c r="H493" s="854"/>
      <c r="I493" s="854"/>
      <c r="J493" s="815" t="s">
        <v>1001</v>
      </c>
      <c r="K493" s="768"/>
      <c r="L493" s="767">
        <f>Sheet2!B448*Sheet2!$B$344*0</f>
        <v>0</v>
      </c>
      <c r="M493" s="769">
        <f t="shared" si="43"/>
        <v>0</v>
      </c>
      <c r="N493" s="883" t="s">
        <v>1146</v>
      </c>
      <c r="O493" s="1032"/>
    </row>
    <row r="494" spans="3:15" ht="15.75" hidden="1">
      <c r="C494" s="826">
        <f t="shared" si="42"/>
        <v>5</v>
      </c>
      <c r="D494" s="806"/>
      <c r="E494" s="854" t="s">
        <v>498</v>
      </c>
      <c r="F494" s="854"/>
      <c r="G494" s="854"/>
      <c r="H494" s="854"/>
      <c r="I494" s="854"/>
      <c r="J494" s="815" t="s">
        <v>139</v>
      </c>
      <c r="K494" s="768"/>
      <c r="L494" s="767">
        <f>Sheet2!B449*Sheet2!$B$344*0</f>
        <v>0</v>
      </c>
      <c r="M494" s="769">
        <f t="shared" si="43"/>
        <v>0</v>
      </c>
      <c r="N494" s="883" t="s">
        <v>1146</v>
      </c>
      <c r="O494" s="1032"/>
    </row>
    <row r="495" spans="3:15" ht="15.75" hidden="1">
      <c r="C495" s="826">
        <f t="shared" si="42"/>
        <v>6</v>
      </c>
      <c r="D495" s="806"/>
      <c r="E495" s="854" t="s">
        <v>992</v>
      </c>
      <c r="F495" s="854"/>
      <c r="G495" s="854"/>
      <c r="H495" s="854"/>
      <c r="I495" s="854"/>
      <c r="J495" s="815" t="s">
        <v>981</v>
      </c>
      <c r="K495" s="768"/>
      <c r="L495" s="767">
        <f>Sheet2!B450*Sheet2!$B$344*0</f>
        <v>0</v>
      </c>
      <c r="M495" s="769">
        <f t="shared" si="43"/>
        <v>0</v>
      </c>
      <c r="N495" s="883" t="s">
        <v>1146</v>
      </c>
      <c r="O495" s="1032"/>
    </row>
    <row r="496" spans="3:15" ht="15.75" hidden="1">
      <c r="C496" s="826">
        <f t="shared" si="42"/>
        <v>7</v>
      </c>
      <c r="D496" s="806"/>
      <c r="E496" s="854" t="s">
        <v>499</v>
      </c>
      <c r="F496" s="854"/>
      <c r="G496" s="854"/>
      <c r="H496" s="854"/>
      <c r="I496" s="854"/>
      <c r="J496" s="815" t="s">
        <v>161</v>
      </c>
      <c r="K496" s="768"/>
      <c r="L496" s="767">
        <f>Sheet2!B451*Sheet2!$B$344*0</f>
        <v>0</v>
      </c>
      <c r="M496" s="769">
        <f t="shared" si="43"/>
        <v>0</v>
      </c>
      <c r="N496" s="883" t="s">
        <v>1146</v>
      </c>
      <c r="O496" s="1032"/>
    </row>
    <row r="497" spans="3:15" ht="15.75" hidden="1">
      <c r="C497" s="826"/>
      <c r="D497" s="806"/>
      <c r="E497" s="817"/>
      <c r="F497" s="854"/>
      <c r="G497" s="854"/>
      <c r="H497" s="854"/>
      <c r="I497" s="854"/>
      <c r="J497" s="815"/>
      <c r="K497" s="768"/>
      <c r="L497" s="767"/>
      <c r="M497" s="769"/>
      <c r="N497" s="765"/>
      <c r="O497" s="814"/>
    </row>
    <row r="498" spans="3:15" ht="15.75" hidden="1">
      <c r="C498" s="826"/>
      <c r="D498" s="806"/>
      <c r="E498" s="817"/>
      <c r="F498" s="854"/>
      <c r="G498" s="854"/>
      <c r="H498" s="854"/>
      <c r="I498" s="854"/>
      <c r="J498" s="815"/>
      <c r="K498" s="768"/>
      <c r="L498" s="767"/>
      <c r="M498" s="769"/>
      <c r="N498" s="765"/>
      <c r="O498" s="814"/>
    </row>
    <row r="499" spans="3:15" ht="15.75" hidden="1">
      <c r="C499" s="770"/>
      <c r="D499" s="881"/>
      <c r="E499" s="843"/>
      <c r="F499" s="843"/>
      <c r="G499" s="843"/>
      <c r="H499" s="843"/>
      <c r="I499" s="843"/>
      <c r="J499" s="844"/>
      <c r="K499" s="776"/>
      <c r="L499" s="884"/>
      <c r="M499" s="776"/>
      <c r="N499" s="779"/>
      <c r="O499" s="814"/>
    </row>
    <row r="500" spans="3:15" ht="15.75" hidden="1">
      <c r="C500" s="795"/>
      <c r="D500" s="882"/>
      <c r="E500" s="849"/>
      <c r="F500" s="849"/>
      <c r="G500" s="849"/>
      <c r="H500" s="849"/>
      <c r="I500" s="849"/>
      <c r="J500" s="850"/>
      <c r="K500" s="838"/>
      <c r="L500" s="767"/>
      <c r="M500" s="838"/>
      <c r="N500" s="842"/>
      <c r="O500" s="814"/>
    </row>
    <row r="501" spans="3:15" ht="15.75" hidden="1">
      <c r="C501" s="762" t="s">
        <v>309</v>
      </c>
      <c r="D501" s="806"/>
      <c r="E501" s="848" t="s">
        <v>778</v>
      </c>
      <c r="F501" s="854"/>
      <c r="G501" s="854"/>
      <c r="H501" s="854"/>
      <c r="I501" s="854"/>
      <c r="J501" s="815"/>
      <c r="K501" s="768"/>
      <c r="L501" s="767"/>
      <c r="M501" s="768"/>
      <c r="N501" s="765">
        <f>SUM(M502:M507)</f>
        <v>0</v>
      </c>
      <c r="O501" s="814"/>
    </row>
    <row r="502" spans="3:15" ht="15.75" hidden="1">
      <c r="C502" s="826">
        <f aca="true" t="shared" si="44" ref="C502:C507">C501+1</f>
        <v>1</v>
      </c>
      <c r="D502" s="806"/>
      <c r="E502" s="854" t="s">
        <v>1009</v>
      </c>
      <c r="F502" s="854"/>
      <c r="G502" s="854"/>
      <c r="H502" s="854"/>
      <c r="I502" s="854"/>
      <c r="J502" s="815" t="s">
        <v>139</v>
      </c>
      <c r="K502" s="768"/>
      <c r="L502" s="767">
        <f>Sheet2!B457*Sheet2!$B$344*0</f>
        <v>0</v>
      </c>
      <c r="M502" s="769">
        <f aca="true" t="shared" si="45" ref="M502:M507">K502*L502</f>
        <v>0</v>
      </c>
      <c r="N502" s="883" t="s">
        <v>1146</v>
      </c>
      <c r="O502" s="1032"/>
    </row>
    <row r="503" spans="3:15" ht="15.75" hidden="1">
      <c r="C503" s="826">
        <f t="shared" si="44"/>
        <v>2</v>
      </c>
      <c r="D503" s="806"/>
      <c r="E503" s="854" t="s">
        <v>1010</v>
      </c>
      <c r="F503" s="854"/>
      <c r="G503" s="854"/>
      <c r="H503" s="854"/>
      <c r="I503" s="854"/>
      <c r="J503" s="815" t="s">
        <v>139</v>
      </c>
      <c r="K503" s="768"/>
      <c r="L503" s="767">
        <f>Sheet2!B458*Sheet2!$B$344*0</f>
        <v>0</v>
      </c>
      <c r="M503" s="769">
        <f t="shared" si="45"/>
        <v>0</v>
      </c>
      <c r="N503" s="883" t="s">
        <v>1146</v>
      </c>
      <c r="O503" s="1032"/>
    </row>
    <row r="504" spans="3:15" ht="15.75" hidden="1">
      <c r="C504" s="826">
        <f t="shared" si="44"/>
        <v>3</v>
      </c>
      <c r="D504" s="806"/>
      <c r="E504" s="854" t="s">
        <v>1011</v>
      </c>
      <c r="F504" s="854"/>
      <c r="G504" s="854"/>
      <c r="H504" s="854"/>
      <c r="I504" s="854"/>
      <c r="J504" s="815" t="s">
        <v>139</v>
      </c>
      <c r="K504" s="768"/>
      <c r="L504" s="767">
        <f>Sheet2!B459*Sheet2!$B$344*0</f>
        <v>0</v>
      </c>
      <c r="M504" s="769">
        <f t="shared" si="45"/>
        <v>0</v>
      </c>
      <c r="N504" s="883" t="s">
        <v>1146</v>
      </c>
      <c r="O504" s="1032"/>
    </row>
    <row r="505" spans="3:15" ht="15.75" hidden="1">
      <c r="C505" s="826">
        <f t="shared" si="44"/>
        <v>4</v>
      </c>
      <c r="D505" s="806"/>
      <c r="E505" s="854" t="s">
        <v>1012</v>
      </c>
      <c r="F505" s="854"/>
      <c r="G505" s="854"/>
      <c r="H505" s="854"/>
      <c r="I505" s="854"/>
      <c r="J505" s="815" t="s">
        <v>461</v>
      </c>
      <c r="K505" s="768"/>
      <c r="L505" s="767">
        <f>Sheet2!B460*Sheet2!$B$344*0</f>
        <v>0</v>
      </c>
      <c r="M505" s="769">
        <f t="shared" si="45"/>
        <v>0</v>
      </c>
      <c r="N505" s="883" t="s">
        <v>1146</v>
      </c>
      <c r="O505" s="1032"/>
    </row>
    <row r="506" spans="3:15" ht="15.75" hidden="1">
      <c r="C506" s="826">
        <f t="shared" si="44"/>
        <v>5</v>
      </c>
      <c r="D506" s="806"/>
      <c r="E506" s="854" t="s">
        <v>1013</v>
      </c>
      <c r="F506" s="854"/>
      <c r="G506" s="854"/>
      <c r="H506" s="854"/>
      <c r="I506" s="854"/>
      <c r="J506" s="815" t="s">
        <v>461</v>
      </c>
      <c r="K506" s="768"/>
      <c r="L506" s="767">
        <f>Sheet2!B461*Sheet2!$B$344*0</f>
        <v>0</v>
      </c>
      <c r="M506" s="769">
        <f t="shared" si="45"/>
        <v>0</v>
      </c>
      <c r="N506" s="883" t="s">
        <v>1146</v>
      </c>
      <c r="O506" s="1032"/>
    </row>
    <row r="507" spans="3:15" ht="15.75" hidden="1">
      <c r="C507" s="826">
        <f t="shared" si="44"/>
        <v>6</v>
      </c>
      <c r="D507" s="806"/>
      <c r="E507" s="854" t="s">
        <v>1014</v>
      </c>
      <c r="F507" s="854"/>
      <c r="G507" s="854"/>
      <c r="H507" s="854"/>
      <c r="I507" s="854"/>
      <c r="J507" s="815" t="s">
        <v>461</v>
      </c>
      <c r="K507" s="768"/>
      <c r="L507" s="767">
        <f>Sheet2!B462*Sheet2!$B$344*0</f>
        <v>0</v>
      </c>
      <c r="M507" s="768">
        <f t="shared" si="45"/>
        <v>0</v>
      </c>
      <c r="N507" s="883" t="s">
        <v>1146</v>
      </c>
      <c r="O507" s="1032"/>
    </row>
    <row r="508" spans="3:15" ht="15.75" hidden="1">
      <c r="C508" s="770"/>
      <c r="D508" s="881"/>
      <c r="E508" s="843"/>
      <c r="F508" s="843"/>
      <c r="G508" s="843"/>
      <c r="H508" s="843"/>
      <c r="I508" s="843"/>
      <c r="J508" s="844"/>
      <c r="K508" s="776"/>
      <c r="L508" s="776"/>
      <c r="M508" s="776"/>
      <c r="N508" s="779"/>
      <c r="O508" s="814"/>
    </row>
    <row r="509" spans="3:15" ht="15.75" hidden="1">
      <c r="C509" s="795"/>
      <c r="D509" s="882"/>
      <c r="E509" s="849"/>
      <c r="F509" s="849"/>
      <c r="G509" s="849"/>
      <c r="H509" s="849"/>
      <c r="I509" s="849"/>
      <c r="J509" s="850"/>
      <c r="K509" s="838"/>
      <c r="L509" s="838"/>
      <c r="M509" s="838"/>
      <c r="N509" s="842"/>
      <c r="O509" s="814"/>
    </row>
    <row r="510" spans="3:15" ht="15.75" hidden="1">
      <c r="C510" s="762" t="s">
        <v>507</v>
      </c>
      <c r="D510" s="806"/>
      <c r="E510" s="848" t="s">
        <v>877</v>
      </c>
      <c r="F510" s="854"/>
      <c r="G510" s="854"/>
      <c r="H510" s="854"/>
      <c r="I510" s="854"/>
      <c r="J510" s="815"/>
      <c r="K510" s="768"/>
      <c r="L510" s="768"/>
      <c r="M510" s="768"/>
      <c r="N510" s="765"/>
      <c r="O510" s="814"/>
    </row>
    <row r="511" spans="3:15" ht="15.75" hidden="1">
      <c r="C511" s="758"/>
      <c r="D511" s="806"/>
      <c r="E511" s="848" t="s">
        <v>775</v>
      </c>
      <c r="F511" s="854"/>
      <c r="G511" s="854"/>
      <c r="H511" s="854"/>
      <c r="I511" s="854"/>
      <c r="J511" s="815"/>
      <c r="K511" s="768"/>
      <c r="L511" s="768"/>
      <c r="M511" s="768"/>
      <c r="N511" s="765"/>
      <c r="O511" s="814"/>
    </row>
    <row r="512" spans="3:15" ht="15.75" hidden="1">
      <c r="C512" s="826">
        <f>C511+1</f>
        <v>1</v>
      </c>
      <c r="D512" s="806"/>
      <c r="E512" s="854" t="s">
        <v>776</v>
      </c>
      <c r="F512" s="854"/>
      <c r="G512" s="854"/>
      <c r="H512" s="854"/>
      <c r="I512" s="854"/>
      <c r="J512" s="815" t="s">
        <v>461</v>
      </c>
      <c r="K512" s="768"/>
      <c r="L512" s="768">
        <f>L442</f>
        <v>75000</v>
      </c>
      <c r="M512" s="769">
        <f>K512*L512</f>
        <v>0</v>
      </c>
      <c r="N512" s="765"/>
      <c r="O512" s="814"/>
    </row>
    <row r="513" spans="3:15" ht="15.75" hidden="1">
      <c r="C513" s="826">
        <f>C512+1</f>
        <v>2</v>
      </c>
      <c r="D513" s="806"/>
      <c r="E513" s="854" t="s">
        <v>780</v>
      </c>
      <c r="F513" s="854"/>
      <c r="G513" s="854"/>
      <c r="H513" s="854"/>
      <c r="I513" s="854"/>
      <c r="J513" s="815" t="s">
        <v>139</v>
      </c>
      <c r="K513" s="768"/>
      <c r="L513" s="768">
        <f>L450</f>
        <v>6000</v>
      </c>
      <c r="M513" s="769">
        <f>K513*L513</f>
        <v>0</v>
      </c>
      <c r="N513" s="765"/>
      <c r="O513" s="814"/>
    </row>
    <row r="514" spans="3:15" ht="15.75" hidden="1">
      <c r="C514" s="826">
        <f>C513+1</f>
        <v>3</v>
      </c>
      <c r="D514" s="806"/>
      <c r="E514" s="854" t="s">
        <v>493</v>
      </c>
      <c r="F514" s="854"/>
      <c r="G514" s="854"/>
      <c r="H514" s="854"/>
      <c r="I514" s="854"/>
      <c r="J514" s="815" t="s">
        <v>139</v>
      </c>
      <c r="K514" s="768"/>
      <c r="L514" s="768">
        <f>$L$454</f>
        <v>18500</v>
      </c>
      <c r="M514" s="769">
        <f>K514*L514</f>
        <v>0</v>
      </c>
      <c r="N514" s="765"/>
      <c r="O514" s="814"/>
    </row>
    <row r="515" spans="3:15" ht="15.75" hidden="1">
      <c r="C515" s="826">
        <f>C514+1</f>
        <v>4</v>
      </c>
      <c r="D515" s="806"/>
      <c r="E515" s="854" t="s">
        <v>494</v>
      </c>
      <c r="F515" s="854"/>
      <c r="G515" s="854"/>
      <c r="H515" s="854"/>
      <c r="I515" s="854"/>
      <c r="J515" s="815" t="s">
        <v>139</v>
      </c>
      <c r="K515" s="768"/>
      <c r="L515" s="768">
        <f>L451</f>
        <v>18000</v>
      </c>
      <c r="M515" s="769">
        <f>K515*L515</f>
        <v>0</v>
      </c>
      <c r="N515" s="765"/>
      <c r="O515" s="814"/>
    </row>
    <row r="516" spans="3:15" ht="15.75" hidden="1">
      <c r="C516" s="826">
        <f>C515+1</f>
        <v>5</v>
      </c>
      <c r="D516" s="806"/>
      <c r="E516" s="854" t="s">
        <v>495</v>
      </c>
      <c r="F516" s="854"/>
      <c r="G516" s="854"/>
      <c r="H516" s="854"/>
      <c r="I516" s="854"/>
      <c r="J516" s="815" t="s">
        <v>139</v>
      </c>
      <c r="K516" s="768"/>
      <c r="L516" s="768">
        <f>L452</f>
        <v>20500</v>
      </c>
      <c r="M516" s="769">
        <f>K516*L516</f>
        <v>0</v>
      </c>
      <c r="N516" s="885"/>
      <c r="O516" s="848"/>
    </row>
    <row r="517" spans="3:15" ht="15.75">
      <c r="C517" s="758"/>
      <c r="D517" s="806"/>
      <c r="E517" s="854"/>
      <c r="F517" s="854"/>
      <c r="G517" s="854"/>
      <c r="H517" s="854"/>
      <c r="I517" s="854"/>
      <c r="J517" s="815"/>
      <c r="K517" s="768"/>
      <c r="L517" s="768"/>
      <c r="M517" s="768"/>
      <c r="N517" s="765"/>
      <c r="O517" s="814"/>
    </row>
    <row r="518" spans="3:15" ht="15.75" hidden="1">
      <c r="C518" s="758"/>
      <c r="D518" s="806"/>
      <c r="E518" s="848" t="s">
        <v>781</v>
      </c>
      <c r="F518" s="854"/>
      <c r="G518" s="854"/>
      <c r="H518" s="854"/>
      <c r="I518" s="854"/>
      <c r="J518" s="815"/>
      <c r="K518" s="768"/>
      <c r="L518" s="768"/>
      <c r="M518" s="768"/>
      <c r="N518" s="765"/>
      <c r="O518" s="814"/>
    </row>
    <row r="519" spans="3:15" ht="15.75" hidden="1">
      <c r="C519" s="826">
        <f>C518+1</f>
        <v>1</v>
      </c>
      <c r="D519" s="806"/>
      <c r="E519" s="854" t="s">
        <v>782</v>
      </c>
      <c r="F519" s="854"/>
      <c r="G519" s="854"/>
      <c r="H519" s="854"/>
      <c r="I519" s="854"/>
      <c r="J519" s="815" t="s">
        <v>161</v>
      </c>
      <c r="K519" s="768"/>
      <c r="L519" s="768">
        <v>200000</v>
      </c>
      <c r="M519" s="769">
        <f>K519*L519</f>
        <v>0</v>
      </c>
      <c r="N519" s="768"/>
      <c r="O519" s="788"/>
    </row>
    <row r="520" spans="3:15" ht="15.75" hidden="1">
      <c r="C520" s="826">
        <f>C519+1</f>
        <v>2</v>
      </c>
      <c r="D520" s="806"/>
      <c r="E520" s="854" t="s">
        <v>1016</v>
      </c>
      <c r="F520" s="854"/>
      <c r="G520" s="854"/>
      <c r="H520" s="854"/>
      <c r="I520" s="854"/>
      <c r="J520" s="815" t="s">
        <v>139</v>
      </c>
      <c r="K520" s="768"/>
      <c r="L520" s="768">
        <f>L479</f>
        <v>49250</v>
      </c>
      <c r="M520" s="769">
        <f>K520*L520</f>
        <v>0</v>
      </c>
      <c r="N520" s="768"/>
      <c r="O520" s="788"/>
    </row>
    <row r="521" spans="3:15" ht="15.75" hidden="1">
      <c r="C521" s="826">
        <f>C520+1</f>
        <v>3</v>
      </c>
      <c r="D521" s="806"/>
      <c r="E521" s="854" t="s">
        <v>499</v>
      </c>
      <c r="F521" s="854"/>
      <c r="G521" s="854"/>
      <c r="H521" s="854"/>
      <c r="I521" s="854"/>
      <c r="J521" s="815" t="s">
        <v>161</v>
      </c>
      <c r="K521" s="768"/>
      <c r="L521" s="768">
        <v>500000</v>
      </c>
      <c r="M521" s="769">
        <f>K521*L521</f>
        <v>0</v>
      </c>
      <c r="N521" s="841"/>
      <c r="O521" s="854"/>
    </row>
    <row r="522" spans="3:15" ht="15.75" hidden="1">
      <c r="C522" s="826">
        <f>C521+1</f>
        <v>4</v>
      </c>
      <c r="D522" s="806"/>
      <c r="E522" s="854" t="s">
        <v>1265</v>
      </c>
      <c r="F522" s="854"/>
      <c r="G522" s="854"/>
      <c r="H522" s="854"/>
      <c r="I522" s="854"/>
      <c r="J522" s="815" t="s">
        <v>161</v>
      </c>
      <c r="K522" s="768"/>
      <c r="L522" s="768">
        <v>500000</v>
      </c>
      <c r="M522" s="769">
        <f>K522*L522</f>
        <v>0</v>
      </c>
      <c r="N522" s="841"/>
      <c r="O522" s="854"/>
    </row>
    <row r="523" spans="3:15" ht="15.75" hidden="1">
      <c r="C523" s="770"/>
      <c r="D523" s="881"/>
      <c r="E523" s="843"/>
      <c r="F523" s="843"/>
      <c r="G523" s="843"/>
      <c r="H523" s="843"/>
      <c r="I523" s="843"/>
      <c r="J523" s="844"/>
      <c r="K523" s="776"/>
      <c r="L523" s="776"/>
      <c r="M523" s="776"/>
      <c r="N523" s="776"/>
      <c r="O523" s="788"/>
    </row>
    <row r="524" spans="3:15" ht="15.75" hidden="1">
      <c r="C524" s="795"/>
      <c r="D524" s="882"/>
      <c r="E524" s="849"/>
      <c r="F524" s="849"/>
      <c r="G524" s="849"/>
      <c r="H524" s="849"/>
      <c r="I524" s="849"/>
      <c r="J524" s="850"/>
      <c r="K524" s="838"/>
      <c r="L524" s="838"/>
      <c r="M524" s="838"/>
      <c r="N524" s="838"/>
      <c r="O524" s="788"/>
    </row>
    <row r="525" spans="3:15" ht="15.75" hidden="1">
      <c r="C525" s="762" t="s">
        <v>579</v>
      </c>
      <c r="D525" s="806"/>
      <c r="E525" s="848" t="s">
        <v>785</v>
      </c>
      <c r="F525" s="854"/>
      <c r="G525" s="854"/>
      <c r="H525" s="854"/>
      <c r="I525" s="854"/>
      <c r="J525" s="815"/>
      <c r="K525" s="768"/>
      <c r="L525" s="768"/>
      <c r="M525" s="768"/>
      <c r="N525" s="765"/>
      <c r="O525" s="814"/>
    </row>
    <row r="526" spans="3:15" ht="15.75" hidden="1">
      <c r="C526" s="762"/>
      <c r="D526" s="806"/>
      <c r="E526" s="848" t="s">
        <v>775</v>
      </c>
      <c r="F526" s="854"/>
      <c r="G526" s="854"/>
      <c r="H526" s="854"/>
      <c r="I526" s="854"/>
      <c r="J526" s="815"/>
      <c r="K526" s="768"/>
      <c r="L526" s="768"/>
      <c r="M526" s="768"/>
      <c r="N526" s="765"/>
      <c r="O526" s="814"/>
    </row>
    <row r="527" spans="3:15" ht="15.75" hidden="1">
      <c r="C527" s="826">
        <f>C525+1</f>
        <v>1</v>
      </c>
      <c r="D527" s="806"/>
      <c r="E527" s="854" t="s">
        <v>776</v>
      </c>
      <c r="F527" s="854"/>
      <c r="G527" s="854"/>
      <c r="H527" s="854"/>
      <c r="I527" s="854"/>
      <c r="J527" s="815" t="s">
        <v>461</v>
      </c>
      <c r="K527" s="768"/>
      <c r="L527" s="768">
        <f>L512</f>
        <v>75000</v>
      </c>
      <c r="M527" s="769">
        <f>K527*L527</f>
        <v>0</v>
      </c>
      <c r="N527" s="768"/>
      <c r="O527" s="788"/>
    </row>
    <row r="528" spans="3:15" ht="15.75" hidden="1">
      <c r="C528" s="826">
        <f>C527+1</f>
        <v>2</v>
      </c>
      <c r="D528" s="806"/>
      <c r="E528" s="854" t="s">
        <v>780</v>
      </c>
      <c r="F528" s="854"/>
      <c r="G528" s="854"/>
      <c r="H528" s="854"/>
      <c r="I528" s="854"/>
      <c r="J528" s="815" t="s">
        <v>139</v>
      </c>
      <c r="K528" s="768"/>
      <c r="L528" s="768">
        <f>L513</f>
        <v>6000</v>
      </c>
      <c r="M528" s="769">
        <f>K528*L528</f>
        <v>0</v>
      </c>
      <c r="N528" s="768"/>
      <c r="O528" s="788"/>
    </row>
    <row r="529" spans="3:15" ht="15.75" hidden="1">
      <c r="C529" s="826">
        <f>C528+1</f>
        <v>3</v>
      </c>
      <c r="D529" s="806"/>
      <c r="E529" s="854" t="s">
        <v>493</v>
      </c>
      <c r="F529" s="854"/>
      <c r="G529" s="854"/>
      <c r="H529" s="854"/>
      <c r="I529" s="854"/>
      <c r="J529" s="815" t="s">
        <v>139</v>
      </c>
      <c r="K529" s="768"/>
      <c r="L529" s="768">
        <f>$L$454</f>
        <v>18500</v>
      </c>
      <c r="M529" s="769">
        <f>K529*L529</f>
        <v>0</v>
      </c>
      <c r="N529" s="768"/>
      <c r="O529" s="788"/>
    </row>
    <row r="530" spans="3:15" ht="15.75" hidden="1">
      <c r="C530" s="826">
        <f>C529+1</f>
        <v>4</v>
      </c>
      <c r="D530" s="806"/>
      <c r="E530" s="854" t="s">
        <v>494</v>
      </c>
      <c r="F530" s="854"/>
      <c r="G530" s="854"/>
      <c r="H530" s="854"/>
      <c r="I530" s="854"/>
      <c r="J530" s="815" t="s">
        <v>139</v>
      </c>
      <c r="K530" s="768"/>
      <c r="L530" s="768">
        <f>L451</f>
        <v>18000</v>
      </c>
      <c r="M530" s="769">
        <f>K530*L530</f>
        <v>0</v>
      </c>
      <c r="N530" s="768"/>
      <c r="O530" s="788"/>
    </row>
    <row r="531" spans="3:15" ht="15.75" hidden="1">
      <c r="C531" s="826">
        <f>C530+1</f>
        <v>5</v>
      </c>
      <c r="D531" s="806"/>
      <c r="E531" s="854" t="s">
        <v>495</v>
      </c>
      <c r="F531" s="854"/>
      <c r="G531" s="854"/>
      <c r="H531" s="854"/>
      <c r="I531" s="854"/>
      <c r="J531" s="815" t="s">
        <v>139</v>
      </c>
      <c r="K531" s="768"/>
      <c r="L531" s="768">
        <f>L452</f>
        <v>20500</v>
      </c>
      <c r="M531" s="769">
        <f>K531*L531</f>
        <v>0</v>
      </c>
      <c r="N531" s="841"/>
      <c r="O531" s="854"/>
    </row>
    <row r="532" spans="3:15" ht="15.75" hidden="1">
      <c r="C532" s="987"/>
      <c r="D532" s="988"/>
      <c r="E532" s="989"/>
      <c r="F532" s="989"/>
      <c r="G532" s="989"/>
      <c r="H532" s="989"/>
      <c r="I532" s="989"/>
      <c r="J532" s="990"/>
      <c r="K532" s="991"/>
      <c r="L532" s="991"/>
      <c r="M532" s="991"/>
      <c r="N532" s="991"/>
      <c r="O532" s="788"/>
    </row>
    <row r="533" spans="3:15" ht="15.75" hidden="1">
      <c r="C533" s="758"/>
      <c r="D533" s="806"/>
      <c r="E533" s="848" t="s">
        <v>781</v>
      </c>
      <c r="F533" s="854"/>
      <c r="G533" s="854"/>
      <c r="H533" s="854"/>
      <c r="I533" s="854"/>
      <c r="J533" s="815"/>
      <c r="K533" s="768"/>
      <c r="L533" s="768"/>
      <c r="M533" s="768"/>
      <c r="N533" s="765"/>
      <c r="O533" s="814"/>
    </row>
    <row r="534" spans="3:15" ht="15.75" hidden="1">
      <c r="C534" s="826">
        <f>C533+1</f>
        <v>1</v>
      </c>
      <c r="D534" s="806"/>
      <c r="E534" s="854" t="s">
        <v>782</v>
      </c>
      <c r="F534" s="854"/>
      <c r="G534" s="854"/>
      <c r="H534" s="854"/>
      <c r="I534" s="854"/>
      <c r="J534" s="815" t="s">
        <v>161</v>
      </c>
      <c r="K534" s="768"/>
      <c r="L534" s="768">
        <v>200000</v>
      </c>
      <c r="M534" s="769">
        <f>K534*L534</f>
        <v>0</v>
      </c>
      <c r="N534" s="768"/>
      <c r="O534" s="788"/>
    </row>
    <row r="535" spans="3:15" ht="15.75" hidden="1">
      <c r="C535" s="826">
        <f>C534+1</f>
        <v>2</v>
      </c>
      <c r="D535" s="806"/>
      <c r="E535" s="854" t="s">
        <v>1016</v>
      </c>
      <c r="F535" s="854"/>
      <c r="G535" s="854"/>
      <c r="H535" s="854"/>
      <c r="I535" s="854"/>
      <c r="J535" s="815" t="s">
        <v>139</v>
      </c>
      <c r="K535" s="768"/>
      <c r="L535" s="768">
        <f>L479</f>
        <v>49250</v>
      </c>
      <c r="M535" s="769">
        <f>K535*L535</f>
        <v>0</v>
      </c>
      <c r="N535" s="768"/>
      <c r="O535" s="788"/>
    </row>
    <row r="536" spans="3:15" ht="15.75" hidden="1">
      <c r="C536" s="826">
        <f>C535+1</f>
        <v>3</v>
      </c>
      <c r="D536" s="806"/>
      <c r="E536" s="854" t="s">
        <v>499</v>
      </c>
      <c r="F536" s="854"/>
      <c r="G536" s="854"/>
      <c r="H536" s="854"/>
      <c r="I536" s="854"/>
      <c r="J536" s="815" t="s">
        <v>161</v>
      </c>
      <c r="K536" s="768"/>
      <c r="L536" s="768">
        <v>500000</v>
      </c>
      <c r="M536" s="769">
        <f>K536*L536</f>
        <v>0</v>
      </c>
      <c r="N536" s="841"/>
      <c r="O536" s="854"/>
    </row>
    <row r="537" spans="3:15" ht="15.75" hidden="1">
      <c r="C537" s="826"/>
      <c r="D537" s="806"/>
      <c r="E537" s="854"/>
      <c r="F537" s="854"/>
      <c r="G537" s="854"/>
      <c r="H537" s="854"/>
      <c r="I537" s="854"/>
      <c r="J537" s="815"/>
      <c r="K537" s="768"/>
      <c r="L537" s="768"/>
      <c r="M537" s="769"/>
      <c r="N537" s="841"/>
      <c r="O537" s="854"/>
    </row>
    <row r="538" spans="1:15" ht="15.75" hidden="1">
      <c r="A538" s="557" t="s">
        <v>699</v>
      </c>
      <c r="C538" s="762" t="s">
        <v>8</v>
      </c>
      <c r="D538" s="806"/>
      <c r="E538" s="848" t="s">
        <v>784</v>
      </c>
      <c r="F538" s="854"/>
      <c r="G538" s="854"/>
      <c r="H538" s="854"/>
      <c r="I538" s="854"/>
      <c r="J538" s="815"/>
      <c r="K538" s="768"/>
      <c r="L538" s="768"/>
      <c r="M538" s="768"/>
      <c r="N538" s="768"/>
      <c r="O538" s="788"/>
    </row>
    <row r="539" spans="3:15" ht="15.75" hidden="1">
      <c r="C539" s="758"/>
      <c r="D539" s="806"/>
      <c r="E539" s="848" t="s">
        <v>775</v>
      </c>
      <c r="F539" s="854"/>
      <c r="G539" s="854"/>
      <c r="H539" s="854"/>
      <c r="I539" s="854"/>
      <c r="J539" s="815"/>
      <c r="K539" s="768"/>
      <c r="L539" s="768"/>
      <c r="M539" s="768"/>
      <c r="N539" s="765">
        <f>SUM(M540:M548)</f>
        <v>0</v>
      </c>
      <c r="O539" s="814"/>
    </row>
    <row r="540" spans="3:15" ht="15.75" hidden="1">
      <c r="C540" s="826">
        <f aca="true" t="shared" si="46" ref="C540:C548">C539+1</f>
        <v>1</v>
      </c>
      <c r="D540" s="806"/>
      <c r="E540" s="854" t="s">
        <v>791</v>
      </c>
      <c r="F540" s="854"/>
      <c r="G540" s="854"/>
      <c r="H540" s="854"/>
      <c r="I540" s="854"/>
      <c r="J540" s="815" t="s">
        <v>139</v>
      </c>
      <c r="K540" s="768"/>
      <c r="L540" s="768">
        <f>ANALISA!N590</f>
        <v>1528695.4159999997</v>
      </c>
      <c r="M540" s="769">
        <f aca="true" t="shared" si="47" ref="M540:M548">K540*L540</f>
        <v>0</v>
      </c>
      <c r="N540" s="768"/>
      <c r="O540" s="788"/>
    </row>
    <row r="541" spans="3:15" ht="15.75" hidden="1">
      <c r="C541" s="826">
        <v>1</v>
      </c>
      <c r="D541" s="806"/>
      <c r="E541" s="818" t="s">
        <v>792</v>
      </c>
      <c r="F541" s="784"/>
      <c r="G541" s="784"/>
      <c r="H541" s="784"/>
      <c r="I541" s="784"/>
      <c r="J541" s="827" t="s">
        <v>161</v>
      </c>
      <c r="K541" s="834"/>
      <c r="L541" s="834">
        <v>300000</v>
      </c>
      <c r="M541" s="769">
        <f t="shared" si="47"/>
        <v>0</v>
      </c>
      <c r="N541" s="768"/>
      <c r="O541" s="788"/>
    </row>
    <row r="542" spans="3:15" ht="15.75" hidden="1">
      <c r="C542" s="826">
        <f t="shared" si="46"/>
        <v>2</v>
      </c>
      <c r="D542" s="806"/>
      <c r="E542" s="854" t="s">
        <v>793</v>
      </c>
      <c r="F542" s="854"/>
      <c r="G542" s="854"/>
      <c r="H542" s="854"/>
      <c r="I542" s="854"/>
      <c r="J542" s="815" t="s">
        <v>139</v>
      </c>
      <c r="K542" s="768"/>
      <c r="L542" s="768">
        <v>300000</v>
      </c>
      <c r="M542" s="769">
        <f t="shared" si="47"/>
        <v>0</v>
      </c>
      <c r="N542" s="768"/>
      <c r="O542" s="788"/>
    </row>
    <row r="543" spans="3:15" ht="15.75" hidden="1">
      <c r="C543" s="826">
        <v>2</v>
      </c>
      <c r="D543" s="806"/>
      <c r="E543" s="854" t="s">
        <v>794</v>
      </c>
      <c r="F543" s="854"/>
      <c r="G543" s="854"/>
      <c r="H543" s="854"/>
      <c r="I543" s="854"/>
      <c r="J543" s="815" t="s">
        <v>139</v>
      </c>
      <c r="K543" s="768"/>
      <c r="L543" s="768">
        <v>77500</v>
      </c>
      <c r="M543" s="769">
        <f t="shared" si="47"/>
        <v>0</v>
      </c>
      <c r="N543" s="768"/>
      <c r="O543" s="788"/>
    </row>
    <row r="544" spans="3:15" ht="15.75" hidden="1">
      <c r="C544" s="826">
        <f t="shared" si="46"/>
        <v>3</v>
      </c>
      <c r="D544" s="806"/>
      <c r="E544" s="854" t="s">
        <v>795</v>
      </c>
      <c r="F544" s="854"/>
      <c r="G544" s="854"/>
      <c r="H544" s="854"/>
      <c r="I544" s="854"/>
      <c r="J544" s="815" t="s">
        <v>139</v>
      </c>
      <c r="K544" s="768"/>
      <c r="L544" s="768">
        <v>80000</v>
      </c>
      <c r="M544" s="769">
        <f t="shared" si="47"/>
        <v>0</v>
      </c>
      <c r="N544" s="768"/>
      <c r="O544" s="788"/>
    </row>
    <row r="545" spans="3:15" ht="15.75" hidden="1">
      <c r="C545" s="826">
        <f t="shared" si="46"/>
        <v>4</v>
      </c>
      <c r="D545" s="806"/>
      <c r="E545" s="854" t="s">
        <v>796</v>
      </c>
      <c r="F545" s="854"/>
      <c r="G545" s="854"/>
      <c r="H545" s="854"/>
      <c r="I545" s="854"/>
      <c r="J545" s="815" t="s">
        <v>153</v>
      </c>
      <c r="K545" s="768"/>
      <c r="L545" s="767">
        <f>Sheet2!$B$499*Sheet2!$B$344</f>
        <v>10530</v>
      </c>
      <c r="M545" s="769">
        <f t="shared" si="47"/>
        <v>0</v>
      </c>
      <c r="N545" s="768"/>
      <c r="O545" s="788"/>
    </row>
    <row r="546" spans="3:15" ht="15.75" hidden="1">
      <c r="C546" s="826">
        <f t="shared" si="46"/>
        <v>5</v>
      </c>
      <c r="D546" s="806"/>
      <c r="E546" s="854" t="s">
        <v>494</v>
      </c>
      <c r="F546" s="854"/>
      <c r="G546" s="854"/>
      <c r="H546" s="854"/>
      <c r="I546" s="854"/>
      <c r="J546" s="815" t="s">
        <v>139</v>
      </c>
      <c r="K546" s="768"/>
      <c r="L546" s="768">
        <f>L530</f>
        <v>18000</v>
      </c>
      <c r="M546" s="769">
        <f t="shared" si="47"/>
        <v>0</v>
      </c>
      <c r="N546" s="768"/>
      <c r="O546" s="788"/>
    </row>
    <row r="547" spans="3:15" ht="15.75" hidden="1">
      <c r="C547" s="826">
        <f t="shared" si="46"/>
        <v>6</v>
      </c>
      <c r="D547" s="806"/>
      <c r="E547" s="854" t="s">
        <v>495</v>
      </c>
      <c r="F547" s="854"/>
      <c r="G547" s="854"/>
      <c r="H547" s="854"/>
      <c r="I547" s="854"/>
      <c r="J547" s="815" t="s">
        <v>139</v>
      </c>
      <c r="K547" s="768"/>
      <c r="L547" s="768">
        <f>L452</f>
        <v>20500</v>
      </c>
      <c r="M547" s="769">
        <f t="shared" si="47"/>
        <v>0</v>
      </c>
      <c r="N547" s="768"/>
      <c r="O547" s="788"/>
    </row>
    <row r="548" spans="3:15" ht="15.75" hidden="1">
      <c r="C548" s="826">
        <f t="shared" si="46"/>
        <v>7</v>
      </c>
      <c r="D548" s="806"/>
      <c r="E548" s="854" t="s">
        <v>797</v>
      </c>
      <c r="F548" s="854"/>
      <c r="G548" s="854"/>
      <c r="H548" s="854"/>
      <c r="I548" s="854"/>
      <c r="J548" s="815" t="s">
        <v>159</v>
      </c>
      <c r="K548" s="768"/>
      <c r="L548" s="768">
        <v>500000</v>
      </c>
      <c r="M548" s="769">
        <f t="shared" si="47"/>
        <v>0</v>
      </c>
      <c r="N548" s="841"/>
      <c r="O548" s="854"/>
    </row>
    <row r="549" spans="3:15" ht="15.75" hidden="1">
      <c r="C549" s="758"/>
      <c r="D549" s="806"/>
      <c r="E549" s="854"/>
      <c r="F549" s="854"/>
      <c r="G549" s="854"/>
      <c r="H549" s="854"/>
      <c r="I549" s="854"/>
      <c r="J549" s="815"/>
      <c r="K549" s="768"/>
      <c r="L549" s="768"/>
      <c r="M549" s="768"/>
      <c r="N549" s="768"/>
      <c r="O549" s="788"/>
    </row>
    <row r="550" spans="3:15" ht="15.75" hidden="1">
      <c r="C550" s="762" t="s">
        <v>309</v>
      </c>
      <c r="D550" s="806"/>
      <c r="E550" s="848" t="s">
        <v>501</v>
      </c>
      <c r="F550" s="854"/>
      <c r="G550" s="854"/>
      <c r="H550" s="854"/>
      <c r="I550" s="854"/>
      <c r="J550" s="815"/>
      <c r="K550" s="768"/>
      <c r="L550" s="768"/>
      <c r="M550" s="768"/>
      <c r="N550" s="765">
        <f>SUM(M551:M557)</f>
        <v>0</v>
      </c>
      <c r="O550" s="814"/>
    </row>
    <row r="551" spans="3:15" ht="15.75" hidden="1">
      <c r="C551" s="826">
        <v>1</v>
      </c>
      <c r="D551" s="806"/>
      <c r="E551" s="854" t="s">
        <v>1060</v>
      </c>
      <c r="F551" s="854"/>
      <c r="G551" s="854"/>
      <c r="H551" s="854"/>
      <c r="I551" s="854"/>
      <c r="J551" s="815" t="s">
        <v>153</v>
      </c>
      <c r="K551" s="768"/>
      <c r="L551" s="767">
        <f>Sheet2!B505*Sheet2!$B$344</f>
        <v>378000</v>
      </c>
      <c r="M551" s="769">
        <f aca="true" t="shared" si="48" ref="M551:M557">K551*L551</f>
        <v>0</v>
      </c>
      <c r="N551" s="768"/>
      <c r="O551" s="788"/>
    </row>
    <row r="552" spans="1:15" ht="15.75" hidden="1">
      <c r="A552" s="557" t="s">
        <v>699</v>
      </c>
      <c r="C552" s="826">
        <f>C551+1</f>
        <v>2</v>
      </c>
      <c r="D552" s="806"/>
      <c r="E552" s="854" t="s">
        <v>1061</v>
      </c>
      <c r="F552" s="854"/>
      <c r="G552" s="854"/>
      <c r="H552" s="854"/>
      <c r="I552" s="854"/>
      <c r="J552" s="815" t="s">
        <v>153</v>
      </c>
      <c r="K552" s="768"/>
      <c r="L552" s="767">
        <f>Sheet2!B506*Sheet2!$B$344</f>
        <v>276750</v>
      </c>
      <c r="M552" s="769">
        <f t="shared" si="48"/>
        <v>0</v>
      </c>
      <c r="N552" s="768"/>
      <c r="O552" s="788"/>
    </row>
    <row r="553" spans="3:15" ht="15.75" hidden="1">
      <c r="C553" s="826">
        <f>C552+1</f>
        <v>3</v>
      </c>
      <c r="D553" s="806"/>
      <c r="E553" s="854" t="s">
        <v>1062</v>
      </c>
      <c r="F553" s="854"/>
      <c r="G553" s="854"/>
      <c r="H553" s="854"/>
      <c r="I553" s="854"/>
      <c r="J553" s="815" t="s">
        <v>153</v>
      </c>
      <c r="K553" s="768"/>
      <c r="L553" s="767">
        <f>Sheet2!B507*Sheet2!$B$344</f>
        <v>102600</v>
      </c>
      <c r="M553" s="769">
        <f t="shared" si="48"/>
        <v>0</v>
      </c>
      <c r="N553" s="768"/>
      <c r="O553" s="788"/>
    </row>
    <row r="554" spans="3:15" ht="15.75" hidden="1">
      <c r="C554" s="826">
        <f>C553+1</f>
        <v>4</v>
      </c>
      <c r="D554" s="806"/>
      <c r="E554" s="854" t="s">
        <v>1117</v>
      </c>
      <c r="F554" s="854"/>
      <c r="G554" s="854"/>
      <c r="H554" s="854"/>
      <c r="I554" s="854"/>
      <c r="J554" s="815" t="s">
        <v>153</v>
      </c>
      <c r="K554" s="768"/>
      <c r="L554" s="767">
        <f>Sheet2!B508*Sheet2!$B$344</f>
        <v>19240</v>
      </c>
      <c r="M554" s="769">
        <f t="shared" si="48"/>
        <v>0</v>
      </c>
      <c r="N554" s="768"/>
      <c r="O554" s="788"/>
    </row>
    <row r="555" spans="3:15" ht="15.75" hidden="1">
      <c r="C555" s="826">
        <f>C554+1</f>
        <v>5</v>
      </c>
      <c r="D555" s="806"/>
      <c r="E555" s="854" t="s">
        <v>783</v>
      </c>
      <c r="F555" s="854"/>
      <c r="G555" s="854"/>
      <c r="H555" s="854"/>
      <c r="I555" s="854"/>
      <c r="J555" s="815" t="s">
        <v>153</v>
      </c>
      <c r="K555" s="768"/>
      <c r="L555" s="767">
        <f>Sheet2!B509*Sheet2!$B$344</f>
        <v>19240</v>
      </c>
      <c r="M555" s="769">
        <f t="shared" si="48"/>
        <v>0</v>
      </c>
      <c r="N555" s="768"/>
      <c r="O555" s="788"/>
    </row>
    <row r="556" spans="3:15" ht="15.75" hidden="1">
      <c r="C556" s="826">
        <v>2</v>
      </c>
      <c r="D556" s="806"/>
      <c r="E556" s="854" t="s">
        <v>796</v>
      </c>
      <c r="F556" s="854"/>
      <c r="G556" s="854"/>
      <c r="H556" s="854"/>
      <c r="I556" s="854"/>
      <c r="J556" s="815" t="s">
        <v>153</v>
      </c>
      <c r="K556" s="768"/>
      <c r="L556" s="767">
        <f>Sheet2!$B$499*Sheet2!$B$344</f>
        <v>10530</v>
      </c>
      <c r="M556" s="769">
        <f t="shared" si="48"/>
        <v>0</v>
      </c>
      <c r="N556" s="768"/>
      <c r="O556" s="788"/>
    </row>
    <row r="557" spans="3:15" ht="15.75" hidden="1">
      <c r="C557" s="826">
        <v>3</v>
      </c>
      <c r="D557" s="806"/>
      <c r="E557" s="761" t="s">
        <v>1063</v>
      </c>
      <c r="F557" s="761"/>
      <c r="G557" s="761"/>
      <c r="H557" s="761"/>
      <c r="I557" s="761"/>
      <c r="J557" s="815" t="s">
        <v>153</v>
      </c>
      <c r="K557" s="768"/>
      <c r="L557" s="767">
        <f>Sheet2!B510*Sheet2!$B$344</f>
        <v>36450</v>
      </c>
      <c r="M557" s="769">
        <f t="shared" si="48"/>
        <v>0</v>
      </c>
      <c r="N557" s="768"/>
      <c r="O557" s="788"/>
    </row>
    <row r="558" spans="3:15" ht="15.75" hidden="1">
      <c r="C558" s="758"/>
      <c r="D558" s="806"/>
      <c r="E558" s="854"/>
      <c r="F558" s="854"/>
      <c r="G558" s="854"/>
      <c r="H558" s="854"/>
      <c r="I558" s="854"/>
      <c r="J558" s="815"/>
      <c r="K558" s="768"/>
      <c r="L558" s="768"/>
      <c r="M558" s="769"/>
      <c r="N558" s="768"/>
      <c r="O558" s="788"/>
    </row>
    <row r="559" spans="3:15" ht="15.75">
      <c r="C559" s="758"/>
      <c r="D559" s="806"/>
      <c r="E559" s="854"/>
      <c r="F559" s="854"/>
      <c r="G559" s="854"/>
      <c r="H559" s="854"/>
      <c r="I559" s="854"/>
      <c r="J559" s="815"/>
      <c r="K559" s="768"/>
      <c r="L559" s="768"/>
      <c r="M559" s="769"/>
      <c r="N559" s="768"/>
      <c r="O559" s="788"/>
    </row>
    <row r="560" spans="3:15" ht="15.75">
      <c r="C560" s="837" t="s">
        <v>41</v>
      </c>
      <c r="D560" s="759"/>
      <c r="E560" s="763" t="s">
        <v>41</v>
      </c>
      <c r="F560" s="759"/>
      <c r="G560" s="759"/>
      <c r="H560" s="759"/>
      <c r="I560" s="759"/>
      <c r="J560" s="998" t="s">
        <v>1263</v>
      </c>
      <c r="K560" s="1000"/>
      <c r="L560" s="1001"/>
      <c r="M560" s="999"/>
      <c r="N560" s="1033">
        <f>SUM(N19:N558)</f>
        <v>238132382.12184113</v>
      </c>
      <c r="O560" s="1025"/>
    </row>
    <row r="561" spans="3:15" ht="15.75">
      <c r="C561" s="770"/>
      <c r="D561" s="881"/>
      <c r="E561" s="843"/>
      <c r="F561" s="843"/>
      <c r="G561" s="843"/>
      <c r="H561" s="843"/>
      <c r="I561" s="843"/>
      <c r="J561" s="844"/>
      <c r="K561" s="776"/>
      <c r="L561" s="776"/>
      <c r="M561" s="776"/>
      <c r="N561" s="776"/>
      <c r="O561" s="788"/>
    </row>
    <row r="562" spans="3:15" ht="15.75">
      <c r="C562" s="795"/>
      <c r="D562" s="882"/>
      <c r="E562" s="849"/>
      <c r="F562" s="849"/>
      <c r="G562" s="849"/>
      <c r="H562" s="849"/>
      <c r="I562" s="849"/>
      <c r="J562" s="1015"/>
      <c r="K562" s="1009"/>
      <c r="L562" s="1016"/>
      <c r="M562" s="1011"/>
      <c r="N562" s="842"/>
      <c r="O562" s="814"/>
    </row>
    <row r="563" spans="3:15" ht="15.75">
      <c r="C563" s="770"/>
      <c r="D563" s="881"/>
      <c r="E563" s="843"/>
      <c r="F563" s="843"/>
      <c r="G563" s="843"/>
      <c r="H563" s="843"/>
      <c r="I563" s="843"/>
      <c r="J563" s="1012"/>
      <c r="K563" s="863"/>
      <c r="L563" s="863"/>
      <c r="M563" s="1014"/>
      <c r="N563" s="776"/>
      <c r="O563" s="788"/>
    </row>
    <row r="564" spans="3:15" ht="15.75">
      <c r="C564" s="882"/>
      <c r="D564" s="882"/>
      <c r="E564" s="849"/>
      <c r="F564" s="849"/>
      <c r="G564" s="849"/>
      <c r="H564" s="849"/>
      <c r="I564" s="849"/>
      <c r="J564" s="849"/>
      <c r="K564" s="849"/>
      <c r="L564" s="849"/>
      <c r="M564" s="849"/>
      <c r="N564" s="849"/>
      <c r="O564" s="854"/>
    </row>
    <row r="565" spans="3:15" ht="15.75">
      <c r="C565" s="817"/>
      <c r="D565" s="817"/>
      <c r="E565" s="817"/>
      <c r="F565" s="817"/>
      <c r="G565" s="817"/>
      <c r="H565" s="817"/>
      <c r="I565" s="817"/>
      <c r="J565" s="817"/>
      <c r="K565" s="817"/>
      <c r="L565" s="817"/>
      <c r="M565" s="817"/>
      <c r="N565" s="817"/>
      <c r="O565" s="817"/>
    </row>
    <row r="566" spans="3:15" ht="15.75">
      <c r="C566" s="817"/>
      <c r="D566" s="817"/>
      <c r="E566" s="817"/>
      <c r="F566" s="817"/>
      <c r="G566" s="817"/>
      <c r="H566" s="817"/>
      <c r="I566" s="817"/>
      <c r="J566" s="817"/>
      <c r="K566" s="817"/>
      <c r="L566" s="817"/>
      <c r="M566" s="817"/>
      <c r="N566" s="817"/>
      <c r="O566" s="817"/>
    </row>
    <row r="567" spans="3:15" s="613" customFormat="1" ht="15.75" customHeight="1">
      <c r="C567" s="817"/>
      <c r="D567" s="817"/>
      <c r="E567" s="817"/>
      <c r="F567" s="817"/>
      <c r="G567" s="817"/>
      <c r="H567" s="817"/>
      <c r="I567" s="817"/>
      <c r="J567" s="817"/>
      <c r="K567" s="817"/>
      <c r="L567" s="1119"/>
      <c r="M567" s="1119"/>
      <c r="N567" s="1119"/>
      <c r="O567" s="1020"/>
    </row>
    <row r="568" spans="3:15" ht="15.75" customHeight="1">
      <c r="C568" s="817"/>
      <c r="D568" s="817"/>
      <c r="E568" s="817"/>
      <c r="F568" s="817"/>
      <c r="G568" s="817"/>
      <c r="H568" s="817"/>
      <c r="I568" s="817"/>
      <c r="J568" s="817"/>
      <c r="K568" s="817"/>
      <c r="L568" s="1118"/>
      <c r="M568" s="1118"/>
      <c r="N568" s="1118"/>
      <c r="O568" s="1019"/>
    </row>
    <row r="569" spans="3:15" ht="15.75">
      <c r="C569" s="817"/>
      <c r="D569" s="817"/>
      <c r="E569" s="817"/>
      <c r="F569" s="817"/>
      <c r="G569" s="817"/>
      <c r="H569" s="817"/>
      <c r="I569" s="817"/>
      <c r="J569" s="817"/>
      <c r="K569" s="817"/>
      <c r="L569" s="817"/>
      <c r="M569" s="886"/>
      <c r="N569" s="886"/>
      <c r="O569" s="886"/>
    </row>
    <row r="570" spans="3:15" ht="15.75">
      <c r="C570" s="817"/>
      <c r="D570" s="817"/>
      <c r="E570" s="817"/>
      <c r="F570" s="817"/>
      <c r="G570" s="817"/>
      <c r="H570" s="817"/>
      <c r="I570" s="817"/>
      <c r="J570" s="817"/>
      <c r="K570" s="817"/>
      <c r="L570" s="817"/>
      <c r="M570" s="886"/>
      <c r="N570" s="886"/>
      <c r="O570" s="886"/>
    </row>
    <row r="571" spans="3:15" ht="15.75">
      <c r="C571" s="817"/>
      <c r="D571" s="817"/>
      <c r="E571" s="817"/>
      <c r="F571" s="817"/>
      <c r="G571" s="817"/>
      <c r="H571" s="817"/>
      <c r="I571" s="817"/>
      <c r="J571" s="817"/>
      <c r="K571" s="817"/>
      <c r="L571" s="817"/>
      <c r="M571" s="886"/>
      <c r="N571" s="886"/>
      <c r="O571" s="886"/>
    </row>
    <row r="572" spans="3:15" ht="15.75">
      <c r="C572" s="817"/>
      <c r="D572" s="817"/>
      <c r="E572" s="817"/>
      <c r="F572" s="817"/>
      <c r="G572" s="817"/>
      <c r="H572" s="817"/>
      <c r="I572" s="817"/>
      <c r="J572" s="817"/>
      <c r="K572" s="817"/>
      <c r="L572" s="817"/>
      <c r="M572" s="886"/>
      <c r="N572" s="886"/>
      <c r="O572" s="886"/>
    </row>
    <row r="573" spans="3:15" ht="15.75">
      <c r="C573" s="817"/>
      <c r="D573" s="817"/>
      <c r="E573" s="817"/>
      <c r="F573" s="817"/>
      <c r="G573" s="817"/>
      <c r="H573" s="817"/>
      <c r="I573" s="817"/>
      <c r="J573" s="817"/>
      <c r="K573" s="817"/>
      <c r="L573" s="817"/>
      <c r="M573" s="886"/>
      <c r="N573" s="886"/>
      <c r="O573" s="886"/>
    </row>
    <row r="574" spans="3:15" ht="15.75">
      <c r="C574" s="817"/>
      <c r="D574" s="817"/>
      <c r="E574" s="817"/>
      <c r="F574" s="817"/>
      <c r="G574" s="817"/>
      <c r="H574" s="817"/>
      <c r="I574" s="817"/>
      <c r="J574" s="817"/>
      <c r="K574" s="817"/>
      <c r="L574" s="817"/>
      <c r="M574" s="886"/>
      <c r="N574" s="886"/>
      <c r="O574" s="886"/>
    </row>
    <row r="575" spans="3:15" ht="15.75" customHeight="1">
      <c r="C575" s="817"/>
      <c r="D575" s="817"/>
      <c r="E575" s="817"/>
      <c r="F575" s="817"/>
      <c r="G575" s="817"/>
      <c r="H575" s="817"/>
      <c r="I575" s="817"/>
      <c r="J575" s="817"/>
      <c r="K575" s="817"/>
      <c r="L575" s="1127"/>
      <c r="M575" s="1127"/>
      <c r="N575" s="1127"/>
      <c r="O575" s="1018"/>
    </row>
    <row r="576" spans="3:15" ht="15.75" customHeight="1">
      <c r="C576" s="817"/>
      <c r="D576" s="817"/>
      <c r="E576" s="817"/>
      <c r="F576" s="817"/>
      <c r="G576" s="817"/>
      <c r="H576" s="817"/>
      <c r="I576" s="817"/>
      <c r="J576" s="817"/>
      <c r="K576" s="817"/>
      <c r="L576" s="1118"/>
      <c r="M576" s="1118"/>
      <c r="N576" s="1118"/>
      <c r="O576" s="1019"/>
    </row>
  </sheetData>
  <sheetProtection/>
  <mergeCells count="9">
    <mergeCell ref="L576:N576"/>
    <mergeCell ref="L568:N568"/>
    <mergeCell ref="L567:N567"/>
    <mergeCell ref="C11:N11"/>
    <mergeCell ref="C17:C18"/>
    <mergeCell ref="D17:I18"/>
    <mergeCell ref="J17:J18"/>
    <mergeCell ref="K17:K18"/>
    <mergeCell ref="L575:N575"/>
  </mergeCells>
  <printOptions horizontalCentered="1"/>
  <pageMargins left="0.34" right="0.236220472440945" top="0.984251968503937" bottom="0.511811023622047" header="0.118110236220472" footer="0"/>
  <pageSetup horizontalDpi="300" verticalDpi="300" orientation="portrait" paperSize="9" scale="55" r:id="rId1"/>
  <rowBreaks count="5" manualBreakCount="5">
    <brk id="7" min="2" max="12" man="1"/>
    <brk id="103" min="2" max="13" man="1"/>
    <brk id="166" min="2" max="13" man="1"/>
    <brk id="438" min="2" max="13" man="1"/>
    <brk id="523" min="2" max="13" man="1"/>
  </rowBreaks>
  <colBreaks count="2" manualBreakCount="2">
    <brk id="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510"/>
  <sheetViews>
    <sheetView zoomScalePageLayoutView="0" workbookViewId="0" topLeftCell="A1">
      <selection activeCell="L360" sqref="K360:L362"/>
    </sheetView>
  </sheetViews>
  <sheetFormatPr defaultColWidth="8.88671875" defaultRowHeight="15.75"/>
  <cols>
    <col min="1" max="1" width="5.4453125" style="1034" customWidth="1"/>
    <col min="2" max="2" width="7.21484375" style="1034" customWidth="1"/>
    <col min="3" max="3" width="5.4453125" style="1037" customWidth="1"/>
    <col min="4" max="4" width="6.3359375" style="1037" customWidth="1"/>
    <col min="5" max="5" width="5.88671875" style="1043" customWidth="1"/>
    <col min="6" max="6" width="5.6640625" style="1037" customWidth="1"/>
    <col min="7" max="7" width="6.3359375" style="1047" customWidth="1"/>
    <col min="8" max="8" width="4.4453125" style="1047" customWidth="1"/>
    <col min="9" max="9" width="5.5546875" style="533" customWidth="1"/>
    <col min="10" max="10" width="11.21484375" style="533" customWidth="1"/>
    <col min="11" max="11" width="2.99609375" style="533" customWidth="1"/>
    <col min="12" max="12" width="3.6640625" style="533" customWidth="1"/>
    <col min="13" max="13" width="2.99609375" style="533" customWidth="1"/>
    <col min="14" max="14" width="3.6640625" style="533" customWidth="1"/>
    <col min="15" max="15" width="2.99609375" style="533" customWidth="1"/>
    <col min="16" max="16" width="3.6640625" style="533" customWidth="1"/>
    <col min="17" max="17" width="2.99609375" style="533" customWidth="1"/>
    <col min="18" max="18" width="3.6640625" style="533" customWidth="1"/>
    <col min="19" max="19" width="2.99609375" style="533" customWidth="1"/>
    <col min="20" max="20" width="3.6640625" style="533" customWidth="1"/>
    <col min="21" max="21" width="2.99609375" style="533" customWidth="1"/>
    <col min="22" max="22" width="3.6640625" style="533" customWidth="1"/>
    <col min="23" max="23" width="2.99609375" style="533" customWidth="1"/>
    <col min="24" max="24" width="11.99609375" style="533" customWidth="1"/>
    <col min="25" max="16384" width="8.88671875" style="533" customWidth="1"/>
  </cols>
  <sheetData>
    <row r="2" spans="1:4" ht="12.75">
      <c r="A2" s="1035" t="s">
        <v>1168</v>
      </c>
      <c r="B2" s="1035" t="s">
        <v>1199</v>
      </c>
      <c r="C2" s="1036" t="s">
        <v>1201</v>
      </c>
      <c r="D2" s="1036" t="s">
        <v>1202</v>
      </c>
    </row>
    <row r="3" spans="1:4" ht="12.75">
      <c r="A3" s="1035" t="s">
        <v>1161</v>
      </c>
      <c r="B3" s="1035">
        <v>2</v>
      </c>
      <c r="C3" s="1036">
        <f>0.33*1.75+0.09*0.8</f>
        <v>0.6495</v>
      </c>
      <c r="D3" s="1036">
        <f aca="true" t="shared" si="0" ref="D3:D11">+C3*B3</f>
        <v>1.299</v>
      </c>
    </row>
    <row r="4" spans="1:4" ht="12.75">
      <c r="A4" s="1035" t="s">
        <v>1162</v>
      </c>
      <c r="B4" s="1035">
        <v>10</v>
      </c>
      <c r="C4" s="1036">
        <f>0.28*1.5+0.09*0.8</f>
        <v>0.49200000000000005</v>
      </c>
      <c r="D4" s="1036">
        <f t="shared" si="0"/>
        <v>4.920000000000001</v>
      </c>
    </row>
    <row r="5" spans="1:4" ht="12.75">
      <c r="A5" s="1035" t="s">
        <v>1163</v>
      </c>
      <c r="B5" s="1035">
        <v>4</v>
      </c>
      <c r="C5" s="1036">
        <f>0.26*1.3+0.09*0.8</f>
        <v>0.41000000000000003</v>
      </c>
      <c r="D5" s="1036">
        <f t="shared" si="0"/>
        <v>1.6400000000000001</v>
      </c>
    </row>
    <row r="6" spans="1:4" ht="12.75">
      <c r="A6" s="1035" t="s">
        <v>1164</v>
      </c>
      <c r="B6" s="1035">
        <v>4</v>
      </c>
      <c r="C6" s="1036">
        <f>0.21*1+0.09*0.8</f>
        <v>0.282</v>
      </c>
      <c r="D6" s="1036">
        <f t="shared" si="0"/>
        <v>1.128</v>
      </c>
    </row>
    <row r="7" spans="1:4" ht="12.75">
      <c r="A7" s="1035" t="s">
        <v>1165</v>
      </c>
      <c r="B7" s="1035">
        <v>6</v>
      </c>
      <c r="C7" s="1036">
        <f>0.2*1+0.09*0.8</f>
        <v>0.272</v>
      </c>
      <c r="D7" s="1036">
        <f t="shared" si="0"/>
        <v>1.6320000000000001</v>
      </c>
    </row>
    <row r="8" spans="1:4" ht="12.75">
      <c r="A8" s="1035" t="s">
        <v>1165</v>
      </c>
      <c r="B8" s="1035">
        <v>6</v>
      </c>
      <c r="C8" s="1036">
        <f>0.2*1+0.09*0.8</f>
        <v>0.272</v>
      </c>
      <c r="D8" s="1036">
        <f t="shared" si="0"/>
        <v>1.6320000000000001</v>
      </c>
    </row>
    <row r="9" spans="1:4" ht="12.75">
      <c r="A9" s="1035" t="s">
        <v>1166</v>
      </c>
      <c r="B9" s="1035">
        <v>1</v>
      </c>
      <c r="C9" s="1036">
        <f>0.2*1+0.09*0.8</f>
        <v>0.272</v>
      </c>
      <c r="D9" s="1036">
        <f t="shared" si="0"/>
        <v>0.272</v>
      </c>
    </row>
    <row r="10" spans="1:4" ht="12.75">
      <c r="A10" s="1035" t="s">
        <v>1167</v>
      </c>
      <c r="B10" s="1035">
        <v>5</v>
      </c>
      <c r="C10" s="1036">
        <f>0.12*0.6+0.09*0.8</f>
        <v>0.144</v>
      </c>
      <c r="D10" s="1036">
        <f t="shared" si="0"/>
        <v>0.72</v>
      </c>
    </row>
    <row r="11" spans="1:4" ht="12.75">
      <c r="A11" s="1035" t="s">
        <v>1167</v>
      </c>
      <c r="B11" s="1035">
        <v>5</v>
      </c>
      <c r="C11" s="1036">
        <f>0.12*0.6+0.09*0.8</f>
        <v>0.144</v>
      </c>
      <c r="D11" s="1036">
        <f t="shared" si="0"/>
        <v>0.72</v>
      </c>
    </row>
    <row r="14" spans="1:4" ht="12.75">
      <c r="A14" s="1035" t="s">
        <v>442</v>
      </c>
      <c r="B14" s="1035" t="s">
        <v>1200</v>
      </c>
      <c r="C14" s="1036" t="s">
        <v>1203</v>
      </c>
      <c r="D14" s="1036" t="s">
        <v>1204</v>
      </c>
    </row>
    <row r="15" spans="1:4" ht="12.75">
      <c r="A15" s="1035" t="s">
        <v>338</v>
      </c>
      <c r="B15" s="1036">
        <f>0.12*0.12*4</f>
        <v>0.0576</v>
      </c>
      <c r="C15" s="1036">
        <f>37+18</f>
        <v>55</v>
      </c>
      <c r="D15" s="1036">
        <f aca="true" t="shared" si="1" ref="D15:D21">+C15*B15</f>
        <v>3.1679999999999997</v>
      </c>
    </row>
    <row r="16" spans="1:4" ht="12.75">
      <c r="A16" s="1035" t="s">
        <v>637</v>
      </c>
      <c r="B16" s="1036">
        <f>0.25*0.35*4</f>
        <v>0.35</v>
      </c>
      <c r="C16" s="1036">
        <f>8</f>
        <v>8</v>
      </c>
      <c r="D16" s="1036">
        <f t="shared" si="1"/>
        <v>2.8</v>
      </c>
    </row>
    <row r="17" spans="1:4" ht="12.75">
      <c r="A17" s="1035" t="s">
        <v>638</v>
      </c>
      <c r="B17" s="1036">
        <f>0.25*0.3*4</f>
        <v>0.3</v>
      </c>
      <c r="C17" s="1036">
        <f>8+14</f>
        <v>22</v>
      </c>
      <c r="D17" s="1036">
        <f t="shared" si="1"/>
        <v>6.6</v>
      </c>
    </row>
    <row r="18" spans="1:4" ht="12.75">
      <c r="A18" s="1035" t="s">
        <v>639</v>
      </c>
      <c r="B18" s="1036">
        <f>0.15*0.4*4</f>
        <v>0.24</v>
      </c>
      <c r="C18" s="1036">
        <f>6+6</f>
        <v>12</v>
      </c>
      <c r="D18" s="1036">
        <f t="shared" si="1"/>
        <v>2.88</v>
      </c>
    </row>
    <row r="19" spans="1:4" ht="12.75">
      <c r="A19" s="1035" t="s">
        <v>640</v>
      </c>
      <c r="B19" s="1036">
        <f>+((0.3*0.3)-(0.15*0.15))*4</f>
        <v>0.27</v>
      </c>
      <c r="C19" s="1036">
        <f>6+6</f>
        <v>12</v>
      </c>
      <c r="D19" s="1036">
        <f t="shared" si="1"/>
        <v>3.24</v>
      </c>
    </row>
    <row r="20" spans="1:4" ht="12.75">
      <c r="A20" s="1035" t="s">
        <v>1170</v>
      </c>
      <c r="B20" s="1036">
        <f>0.15*0.3*4</f>
        <v>0.18</v>
      </c>
      <c r="C20" s="1036">
        <f>2+1</f>
        <v>3</v>
      </c>
      <c r="D20" s="1036">
        <f t="shared" si="1"/>
        <v>0.54</v>
      </c>
    </row>
    <row r="21" spans="1:4" ht="12.75">
      <c r="A21" s="1035" t="s">
        <v>1171</v>
      </c>
      <c r="B21" s="1036">
        <f>0.15*0.15*4</f>
        <v>0.09</v>
      </c>
      <c r="C21" s="1036">
        <v>5</v>
      </c>
      <c r="D21" s="1036">
        <f t="shared" si="1"/>
        <v>0.44999999999999996</v>
      </c>
    </row>
    <row r="25" spans="1:4" ht="12.75">
      <c r="A25" s="1034" t="s">
        <v>1177</v>
      </c>
      <c r="B25" s="1034" t="s">
        <v>1200</v>
      </c>
      <c r="C25" s="1037" t="s">
        <v>1203</v>
      </c>
      <c r="D25" s="1037" t="s">
        <v>1204</v>
      </c>
    </row>
    <row r="26" spans="1:4" ht="12.75">
      <c r="A26" s="1035" t="s">
        <v>1171</v>
      </c>
      <c r="B26" s="1036">
        <f>0.15*0.15*4</f>
        <v>0.09</v>
      </c>
      <c r="C26" s="1036">
        <v>5</v>
      </c>
      <c r="D26" s="1036">
        <f>+C26*B26</f>
        <v>0.44999999999999996</v>
      </c>
    </row>
    <row r="27" spans="1:4" ht="12.75">
      <c r="A27" s="1034" t="s">
        <v>727</v>
      </c>
      <c r="B27" s="1037">
        <f>0.5*0.2</f>
        <v>0.1</v>
      </c>
      <c r="C27" s="1037">
        <f>15*4</f>
        <v>60</v>
      </c>
      <c r="D27" s="1037">
        <f>+C27*B27</f>
        <v>6</v>
      </c>
    </row>
    <row r="28" spans="1:4" ht="12.75">
      <c r="A28" s="1034" t="s">
        <v>728</v>
      </c>
      <c r="B28" s="1037">
        <f>0.4*0.2</f>
        <v>0.08000000000000002</v>
      </c>
      <c r="C28" s="1037">
        <f>3.875*2+3.5</f>
        <v>11.25</v>
      </c>
      <c r="D28" s="1037">
        <f>+C28*B28</f>
        <v>0.9000000000000001</v>
      </c>
    </row>
    <row r="29" spans="1:4" ht="12.75">
      <c r="A29" s="1034" t="s">
        <v>729</v>
      </c>
      <c r="B29" s="1037">
        <f>0.3*0.2</f>
        <v>0.06</v>
      </c>
      <c r="C29" s="1037">
        <f>3*3+13+3+3.875*5+3.875*6+3.325*2.75+3*2</f>
        <v>82.76875</v>
      </c>
      <c r="D29" s="1037">
        <f>+C29*B29</f>
        <v>4.966125</v>
      </c>
    </row>
    <row r="30" spans="1:4" ht="12.75">
      <c r="A30" s="1034" t="s">
        <v>1178</v>
      </c>
      <c r="B30" s="1037">
        <f>0.3*0.2</f>
        <v>0.06</v>
      </c>
      <c r="C30" s="1037">
        <f>2*3+1.5+2.35*9</f>
        <v>28.650000000000002</v>
      </c>
      <c r="D30" s="1037">
        <f>+C30*B30</f>
        <v>1.719</v>
      </c>
    </row>
    <row r="32" spans="1:4" ht="12.75">
      <c r="A32" s="1034" t="s">
        <v>1179</v>
      </c>
      <c r="B32" s="1037">
        <f>0.3*0.2</f>
        <v>0.06</v>
      </c>
      <c r="C32" s="1037">
        <f>3*4</f>
        <v>12</v>
      </c>
      <c r="D32" s="1037">
        <f>+C32*B32</f>
        <v>0.72</v>
      </c>
    </row>
    <row r="33" spans="1:4" ht="12.75">
      <c r="A33" s="1034" t="s">
        <v>1180</v>
      </c>
      <c r="B33" s="1037">
        <f>0.25*0.15</f>
        <v>0.0375</v>
      </c>
      <c r="C33" s="1037">
        <f>2+2.75+4</f>
        <v>8.75</v>
      </c>
      <c r="D33" s="1037">
        <f>+C33*B33</f>
        <v>0.328125</v>
      </c>
    </row>
    <row r="34" spans="1:4" ht="12.75">
      <c r="A34" s="1034" t="s">
        <v>1181</v>
      </c>
      <c r="B34" s="1037">
        <f>0.2*0.15</f>
        <v>0.03</v>
      </c>
      <c r="C34" s="1037">
        <f>10.2+2.1*5</f>
        <v>20.7</v>
      </c>
      <c r="D34" s="1037">
        <f>+C34*B34</f>
        <v>0.621</v>
      </c>
    </row>
    <row r="36" spans="1:4" ht="12.75">
      <c r="A36" s="1034" t="s">
        <v>1185</v>
      </c>
      <c r="B36" s="1034" t="s">
        <v>1200</v>
      </c>
      <c r="C36" s="1037" t="s">
        <v>1199</v>
      </c>
      <c r="D36" s="1037" t="s">
        <v>1204</v>
      </c>
    </row>
    <row r="37" spans="1:4" ht="12.75">
      <c r="A37" s="1034" t="s">
        <v>1186</v>
      </c>
      <c r="B37" s="1038">
        <f>0.05*0.07</f>
        <v>0.0035000000000000005</v>
      </c>
      <c r="C37" s="1037">
        <f>1/0.5</f>
        <v>2</v>
      </c>
      <c r="D37" s="1037">
        <f>+B37*C37</f>
        <v>0.007000000000000001</v>
      </c>
    </row>
    <row r="38" spans="1:4" ht="12.75">
      <c r="A38" s="1034" t="s">
        <v>1187</v>
      </c>
      <c r="B38" s="1038">
        <f>0.04*0.06</f>
        <v>0.0024</v>
      </c>
      <c r="C38" s="1037">
        <f>1/0.3</f>
        <v>3.3333333333333335</v>
      </c>
      <c r="D38" s="1037">
        <f>+C38*B38</f>
        <v>0.008</v>
      </c>
    </row>
    <row r="39" spans="1:4" ht="12.75">
      <c r="A39" s="1034" t="s">
        <v>717</v>
      </c>
      <c r="B39" s="1038">
        <f>0.06*0.12</f>
        <v>0.0072</v>
      </c>
      <c r="C39" s="1037">
        <f>1/0.5</f>
        <v>2</v>
      </c>
      <c r="D39" s="1037">
        <f>+C39*B39</f>
        <v>0.0144</v>
      </c>
    </row>
    <row r="41" spans="1:3" ht="12.75">
      <c r="A41" s="1034" t="s">
        <v>1192</v>
      </c>
      <c r="B41" s="1034" t="s">
        <v>1205</v>
      </c>
      <c r="C41" s="1037" t="s">
        <v>403</v>
      </c>
    </row>
    <row r="42" spans="1:4" ht="12.75">
      <c r="A42" s="1040" t="s">
        <v>1193</v>
      </c>
      <c r="B42" s="1040">
        <f>+(25+25+18+3+2.5+15+15+10+10+6+3*4+1.6*5+1.9)</f>
        <v>151.4</v>
      </c>
      <c r="C42" s="1037">
        <v>4</v>
      </c>
      <c r="D42" s="1037">
        <f>+B42*C42</f>
        <v>605.6</v>
      </c>
    </row>
    <row r="43" spans="1:4" ht="12.75">
      <c r="A43" s="1034" t="s">
        <v>1194</v>
      </c>
      <c r="B43" s="1037">
        <f>21+21+21+15+15+10.25+3.325+3.75+3+2+3*3+1</f>
        <v>125.325</v>
      </c>
      <c r="C43" s="1037">
        <v>4</v>
      </c>
      <c r="D43" s="1037">
        <f>+B43*C43</f>
        <v>501.3</v>
      </c>
    </row>
    <row r="44" spans="1:4" ht="12.75">
      <c r="A44" s="1034" t="s">
        <v>1195</v>
      </c>
      <c r="D44" s="1037">
        <f>+SUM(H50:H71)</f>
        <v>219.94</v>
      </c>
    </row>
    <row r="45" spans="1:4" ht="12.75">
      <c r="A45" s="1034" t="s">
        <v>1219</v>
      </c>
      <c r="D45" s="1037">
        <f>1.8*3+2.1*3+1.325*3</f>
        <v>15.675</v>
      </c>
    </row>
    <row r="46" spans="1:4" ht="12.75">
      <c r="A46" s="1034" t="s">
        <v>1217</v>
      </c>
      <c r="D46" s="1037">
        <f>+D42+D43-D44-D45</f>
        <v>871.2850000000001</v>
      </c>
    </row>
    <row r="49" spans="1:8" ht="12.75">
      <c r="A49" s="1034" t="s">
        <v>1196</v>
      </c>
      <c r="B49" s="1034" t="s">
        <v>1212</v>
      </c>
      <c r="C49" s="1037" t="s">
        <v>1232</v>
      </c>
      <c r="D49" s="1037" t="s">
        <v>1213</v>
      </c>
      <c r="E49" s="1034" t="s">
        <v>1218</v>
      </c>
      <c r="F49" s="1037" t="s">
        <v>1214</v>
      </c>
      <c r="G49" s="1037" t="s">
        <v>1215</v>
      </c>
      <c r="H49" s="1037" t="s">
        <v>1216</v>
      </c>
    </row>
    <row r="50" spans="1:8" ht="12.75">
      <c r="A50" s="1034" t="s">
        <v>1197</v>
      </c>
      <c r="B50" s="1034">
        <v>2</v>
      </c>
      <c r="C50" s="1037">
        <v>7</v>
      </c>
      <c r="D50" s="1037">
        <f>+C50*B50</f>
        <v>14</v>
      </c>
      <c r="E50" s="1044">
        <v>2.4</v>
      </c>
      <c r="F50" s="1037">
        <f>+E50*B50</f>
        <v>4.8</v>
      </c>
      <c r="G50" s="1037">
        <v>4.45</v>
      </c>
      <c r="H50" s="1037">
        <f>+G50*B50</f>
        <v>8.9</v>
      </c>
    </row>
    <row r="51" spans="1:8" ht="12.75">
      <c r="A51" s="1034" t="s">
        <v>1221</v>
      </c>
      <c r="B51" s="1034">
        <v>1</v>
      </c>
      <c r="C51" s="1037">
        <v>6.1</v>
      </c>
      <c r="D51" s="1037">
        <f aca="true" t="shared" si="2" ref="D51:D71">+C51*B51</f>
        <v>6.1</v>
      </c>
      <c r="E51" s="1048">
        <v>3.74</v>
      </c>
      <c r="F51" s="1049">
        <f aca="true" t="shared" si="3" ref="F51:F71">+E51*B51</f>
        <v>3.74</v>
      </c>
      <c r="G51" s="1037">
        <v>3.74</v>
      </c>
      <c r="H51" s="1037">
        <f aca="true" t="shared" si="4" ref="H51:H71">+G51*B51</f>
        <v>3.74</v>
      </c>
    </row>
    <row r="52" spans="1:8" ht="12.75">
      <c r="A52" s="1034" t="s">
        <v>471</v>
      </c>
      <c r="B52" s="1034">
        <v>3</v>
      </c>
      <c r="C52" s="1037">
        <v>6.2</v>
      </c>
      <c r="D52" s="1037">
        <f t="shared" si="2"/>
        <v>18.6</v>
      </c>
      <c r="E52" s="1044">
        <v>2.4</v>
      </c>
      <c r="F52" s="1037">
        <f t="shared" si="3"/>
        <v>7.199999999999999</v>
      </c>
      <c r="G52" s="1037">
        <v>2.6</v>
      </c>
      <c r="H52" s="1037">
        <f t="shared" si="4"/>
        <v>7.800000000000001</v>
      </c>
    </row>
    <row r="53" spans="1:8" ht="12.75">
      <c r="A53" s="1034" t="s">
        <v>472</v>
      </c>
      <c r="B53" s="1034">
        <v>6</v>
      </c>
      <c r="C53" s="1037">
        <v>6</v>
      </c>
      <c r="D53" s="1037">
        <f t="shared" si="2"/>
        <v>36</v>
      </c>
      <c r="E53" s="1044">
        <v>0</v>
      </c>
      <c r="F53" s="1037">
        <f t="shared" si="3"/>
        <v>0</v>
      </c>
      <c r="G53" s="1037">
        <v>2.4</v>
      </c>
      <c r="H53" s="1037">
        <f t="shared" si="4"/>
        <v>14.399999999999999</v>
      </c>
    </row>
    <row r="54" spans="1:8" ht="12.75">
      <c r="A54" s="1034" t="s">
        <v>1220</v>
      </c>
      <c r="B54" s="1034">
        <v>7</v>
      </c>
      <c r="C54" s="1037">
        <v>0</v>
      </c>
      <c r="D54" s="1037">
        <f t="shared" si="2"/>
        <v>0</v>
      </c>
      <c r="E54" s="1044">
        <v>0</v>
      </c>
      <c r="F54" s="1037">
        <f t="shared" si="3"/>
        <v>0</v>
      </c>
      <c r="G54" s="1037">
        <v>1.7</v>
      </c>
      <c r="H54" s="1037">
        <f t="shared" si="4"/>
        <v>11.9</v>
      </c>
    </row>
    <row r="55" spans="1:8" ht="12.75">
      <c r="A55" s="1034" t="s">
        <v>474</v>
      </c>
      <c r="B55" s="1034">
        <v>3</v>
      </c>
      <c r="C55" s="1037">
        <f>2.75*2+3.425</f>
        <v>8.925</v>
      </c>
      <c r="D55" s="1037">
        <f t="shared" si="2"/>
        <v>26.775000000000002</v>
      </c>
      <c r="E55" s="1044">
        <f>1.25*5</f>
        <v>6.25</v>
      </c>
      <c r="F55" s="1037">
        <f t="shared" si="3"/>
        <v>18.75</v>
      </c>
      <c r="G55" s="1037">
        <v>9.42</v>
      </c>
      <c r="H55" s="1037">
        <f t="shared" si="4"/>
        <v>28.259999999999998</v>
      </c>
    </row>
    <row r="56" spans="1:8" ht="12.75">
      <c r="A56" s="1034" t="s">
        <v>475</v>
      </c>
      <c r="B56" s="1034">
        <v>2</v>
      </c>
      <c r="C56" s="1037">
        <f>2.6*2+3.3</f>
        <v>8.5</v>
      </c>
      <c r="D56" s="1037">
        <f t="shared" si="2"/>
        <v>17</v>
      </c>
      <c r="E56" s="1044">
        <f>1.2*5</f>
        <v>6</v>
      </c>
      <c r="F56" s="1037">
        <f t="shared" si="3"/>
        <v>12</v>
      </c>
      <c r="G56" s="1037">
        <v>9</v>
      </c>
      <c r="H56" s="1037">
        <f t="shared" si="4"/>
        <v>18</v>
      </c>
    </row>
    <row r="57" spans="1:8" ht="12.75">
      <c r="A57" s="1034" t="s">
        <v>540</v>
      </c>
      <c r="B57" s="1034">
        <v>1</v>
      </c>
      <c r="C57" s="1037">
        <f>2.6*2+4.75</f>
        <v>9.95</v>
      </c>
      <c r="D57" s="1037">
        <f t="shared" si="2"/>
        <v>9.95</v>
      </c>
      <c r="E57" s="1044">
        <f>1.1*8</f>
        <v>8.8</v>
      </c>
      <c r="F57" s="1037">
        <f t="shared" si="3"/>
        <v>8.8</v>
      </c>
      <c r="G57" s="1037">
        <v>13</v>
      </c>
      <c r="H57" s="1037">
        <f t="shared" si="4"/>
        <v>13</v>
      </c>
    </row>
    <row r="58" spans="1:8" ht="12.75">
      <c r="A58" s="1034" t="s">
        <v>602</v>
      </c>
      <c r="B58" s="1034">
        <v>1</v>
      </c>
      <c r="C58" s="1037">
        <f>2.6*2+4.6</f>
        <v>9.8</v>
      </c>
      <c r="D58" s="1037">
        <f t="shared" si="2"/>
        <v>9.8</v>
      </c>
      <c r="E58" s="1044">
        <f>1*8</f>
        <v>8</v>
      </c>
      <c r="F58" s="1037">
        <f t="shared" si="3"/>
        <v>8</v>
      </c>
      <c r="G58" s="1037">
        <v>12.7</v>
      </c>
      <c r="H58" s="1037">
        <f t="shared" si="4"/>
        <v>12.7</v>
      </c>
    </row>
    <row r="59" spans="1:8" ht="12.75">
      <c r="A59" s="1034" t="s">
        <v>449</v>
      </c>
      <c r="B59" s="1034">
        <v>1</v>
      </c>
      <c r="C59" s="1037">
        <v>8.4</v>
      </c>
      <c r="D59" s="1037">
        <f t="shared" si="2"/>
        <v>8.4</v>
      </c>
      <c r="E59" s="1044">
        <v>0.55</v>
      </c>
      <c r="F59" s="1037">
        <f t="shared" si="3"/>
        <v>0.55</v>
      </c>
      <c r="G59" s="1037">
        <v>2.8</v>
      </c>
      <c r="H59" s="1037">
        <f t="shared" si="4"/>
        <v>2.8</v>
      </c>
    </row>
    <row r="60" spans="1:8" ht="12.75">
      <c r="A60" s="1034" t="s">
        <v>450</v>
      </c>
      <c r="B60" s="1034">
        <v>1</v>
      </c>
      <c r="C60" s="1037">
        <v>12.6</v>
      </c>
      <c r="D60" s="1037">
        <f t="shared" si="2"/>
        <v>12.6</v>
      </c>
      <c r="E60" s="1044">
        <v>4</v>
      </c>
      <c r="F60" s="1037">
        <f t="shared" si="3"/>
        <v>4</v>
      </c>
      <c r="G60" s="1037">
        <v>5.2</v>
      </c>
      <c r="H60" s="1037">
        <f t="shared" si="4"/>
        <v>5.2</v>
      </c>
    </row>
    <row r="61" spans="1:8" ht="12.75">
      <c r="A61" s="1034" t="s">
        <v>1198</v>
      </c>
      <c r="B61" s="1034">
        <v>2</v>
      </c>
      <c r="C61" s="1037">
        <v>5.6</v>
      </c>
      <c r="D61" s="1037">
        <f t="shared" si="2"/>
        <v>11.2</v>
      </c>
      <c r="E61" s="1044"/>
      <c r="F61" s="1037">
        <f t="shared" si="3"/>
        <v>0</v>
      </c>
      <c r="G61" s="1037">
        <v>2.4</v>
      </c>
      <c r="H61" s="1037">
        <f t="shared" si="4"/>
        <v>4.8</v>
      </c>
    </row>
    <row r="62" spans="1:8" ht="12.75">
      <c r="A62" s="1034" t="s">
        <v>448</v>
      </c>
      <c r="B62" s="1034">
        <v>2</v>
      </c>
      <c r="C62" s="1037">
        <v>14.7</v>
      </c>
      <c r="D62" s="1037">
        <f t="shared" si="2"/>
        <v>29.4</v>
      </c>
      <c r="E62" s="1044">
        <f>0.625*5</f>
        <v>3.125</v>
      </c>
      <c r="F62" s="1037">
        <f t="shared" si="3"/>
        <v>6.25</v>
      </c>
      <c r="G62" s="1037">
        <v>3.8</v>
      </c>
      <c r="H62" s="1037">
        <f t="shared" si="4"/>
        <v>7.6</v>
      </c>
    </row>
    <row r="63" spans="1:8" ht="12.75">
      <c r="A63" s="1034" t="s">
        <v>535</v>
      </c>
      <c r="B63" s="1034">
        <v>2</v>
      </c>
      <c r="C63" s="1037">
        <v>6</v>
      </c>
      <c r="D63" s="1037">
        <f t="shared" si="2"/>
        <v>12</v>
      </c>
      <c r="E63" s="1044">
        <v>1.32</v>
      </c>
      <c r="F63" s="1037">
        <f t="shared" si="3"/>
        <v>2.64</v>
      </c>
      <c r="G63" s="1037">
        <v>1.32</v>
      </c>
      <c r="H63" s="1037">
        <f t="shared" si="4"/>
        <v>2.64</v>
      </c>
    </row>
    <row r="64" spans="1:8" ht="12.75">
      <c r="A64" s="1034" t="s">
        <v>537</v>
      </c>
      <c r="B64" s="1034">
        <v>8</v>
      </c>
      <c r="C64" s="1037">
        <v>7.8</v>
      </c>
      <c r="D64" s="1037">
        <f t="shared" si="2"/>
        <v>62.4</v>
      </c>
      <c r="E64" s="1044">
        <v>2.4</v>
      </c>
      <c r="F64" s="1037">
        <f>+E64*B64</f>
        <v>19.2</v>
      </c>
      <c r="G64" s="1037">
        <v>3.7</v>
      </c>
      <c r="H64" s="1037">
        <f t="shared" si="4"/>
        <v>29.6</v>
      </c>
    </row>
    <row r="65" spans="1:8" ht="12.75">
      <c r="A65" s="1034" t="s">
        <v>539</v>
      </c>
      <c r="B65" s="1034">
        <v>1</v>
      </c>
      <c r="C65" s="1037">
        <v>4</v>
      </c>
      <c r="D65" s="1037">
        <f t="shared" si="2"/>
        <v>4</v>
      </c>
      <c r="E65" s="1044">
        <v>0.45</v>
      </c>
      <c r="F65" s="1037">
        <f t="shared" si="3"/>
        <v>0.45</v>
      </c>
      <c r="G65" s="1037">
        <v>0.84</v>
      </c>
      <c r="H65" s="1037">
        <f t="shared" si="4"/>
        <v>0.84</v>
      </c>
    </row>
    <row r="66" spans="1:8" ht="12.75">
      <c r="A66" s="1034" t="s">
        <v>1206</v>
      </c>
      <c r="B66" s="1034">
        <v>1</v>
      </c>
      <c r="C66" s="1037">
        <v>3.6</v>
      </c>
      <c r="D66" s="1037">
        <f t="shared" si="2"/>
        <v>3.6</v>
      </c>
      <c r="E66" s="1044">
        <v>0.144</v>
      </c>
      <c r="F66" s="1037">
        <f t="shared" si="3"/>
        <v>0.144</v>
      </c>
      <c r="G66" s="1037">
        <v>0.36</v>
      </c>
      <c r="H66" s="1037">
        <f t="shared" si="4"/>
        <v>0.36</v>
      </c>
    </row>
    <row r="67" spans="1:8" ht="12.75">
      <c r="A67" s="1034" t="s">
        <v>1207</v>
      </c>
      <c r="B67" s="1034">
        <v>9</v>
      </c>
      <c r="C67" s="1037">
        <f>7.5+2.4</f>
        <v>9.9</v>
      </c>
      <c r="D67" s="1037">
        <f t="shared" si="2"/>
        <v>89.10000000000001</v>
      </c>
      <c r="E67" s="1044">
        <f>0.525*4</f>
        <v>2.1</v>
      </c>
      <c r="F67" s="1037">
        <f t="shared" si="3"/>
        <v>18.900000000000002</v>
      </c>
      <c r="G67" s="1037">
        <v>3.5</v>
      </c>
      <c r="H67" s="1037">
        <f t="shared" si="4"/>
        <v>31.5</v>
      </c>
    </row>
    <row r="68" spans="1:8" ht="12.75">
      <c r="A68" s="1034" t="s">
        <v>1208</v>
      </c>
      <c r="B68" s="1034">
        <v>1</v>
      </c>
      <c r="C68" s="1037">
        <v>5.5</v>
      </c>
      <c r="D68" s="1037">
        <f t="shared" si="2"/>
        <v>5.5</v>
      </c>
      <c r="E68" s="1044">
        <v>0.94</v>
      </c>
      <c r="F68" s="1037">
        <f t="shared" si="3"/>
        <v>0.94</v>
      </c>
      <c r="G68" s="1037">
        <v>1.6</v>
      </c>
      <c r="H68" s="1037">
        <f t="shared" si="4"/>
        <v>1.6</v>
      </c>
    </row>
    <row r="69" spans="1:8" ht="12.75">
      <c r="A69" s="1034" t="s">
        <v>1209</v>
      </c>
      <c r="B69" s="1034">
        <v>1</v>
      </c>
      <c r="C69" s="1037">
        <v>7.5</v>
      </c>
      <c r="D69" s="1037">
        <f t="shared" si="2"/>
        <v>7.5</v>
      </c>
      <c r="E69" s="1044">
        <v>3.1</v>
      </c>
      <c r="F69" s="1037">
        <f t="shared" si="3"/>
        <v>3.1</v>
      </c>
      <c r="G69" s="1037">
        <v>3.5</v>
      </c>
      <c r="H69" s="1037">
        <f t="shared" si="4"/>
        <v>3.5</v>
      </c>
    </row>
    <row r="70" spans="1:8" ht="12.75">
      <c r="A70" s="1034" t="s">
        <v>1210</v>
      </c>
      <c r="B70" s="1034">
        <v>1</v>
      </c>
      <c r="C70" s="1037">
        <v>15.9</v>
      </c>
      <c r="D70" s="1037">
        <f t="shared" si="2"/>
        <v>15.9</v>
      </c>
      <c r="E70" s="1044">
        <v>5.2</v>
      </c>
      <c r="F70" s="1037">
        <f t="shared" si="3"/>
        <v>5.2</v>
      </c>
      <c r="G70" s="1037">
        <v>5.9</v>
      </c>
      <c r="H70" s="1037">
        <f t="shared" si="4"/>
        <v>5.9</v>
      </c>
    </row>
    <row r="71" spans="1:8" ht="12.75">
      <c r="A71" s="1034" t="s">
        <v>1211</v>
      </c>
      <c r="B71" s="1034">
        <v>2</v>
      </c>
      <c r="C71" s="1037">
        <v>3</v>
      </c>
      <c r="D71" s="1037">
        <f t="shared" si="2"/>
        <v>6</v>
      </c>
      <c r="E71" s="1044">
        <v>1</v>
      </c>
      <c r="F71" s="1037">
        <f t="shared" si="3"/>
        <v>2</v>
      </c>
      <c r="G71" s="1037">
        <v>2.45</v>
      </c>
      <c r="H71" s="1037">
        <f t="shared" si="4"/>
        <v>4.9</v>
      </c>
    </row>
    <row r="102" ht="12.75">
      <c r="C102" s="1037">
        <f>RAB!N560/RAB!K90</f>
        <v>3459215.3126356932</v>
      </c>
    </row>
    <row r="118" ht="12.75">
      <c r="B118" s="1034">
        <v>10.4</v>
      </c>
    </row>
    <row r="119" ht="12.75">
      <c r="B119" s="1034">
        <v>5.2</v>
      </c>
    </row>
    <row r="120" spans="2:3" ht="12.75">
      <c r="B120" s="1034">
        <v>2.24</v>
      </c>
      <c r="C120" s="1037">
        <f>B120-RAB!K172</f>
        <v>2.24</v>
      </c>
    </row>
    <row r="121" spans="2:3" ht="12.75">
      <c r="B121" s="1034">
        <v>4.48</v>
      </c>
      <c r="C121" s="1037">
        <f>B121-RAB!K173</f>
        <v>4.48</v>
      </c>
    </row>
    <row r="122" spans="2:3" ht="12.75">
      <c r="B122" s="1034">
        <v>19.19</v>
      </c>
      <c r="C122" s="1037">
        <f>B122-RAB!K174</f>
        <v>19.19</v>
      </c>
    </row>
    <row r="283" spans="1:6" ht="12.75">
      <c r="A283" s="1041"/>
      <c r="B283" s="1041"/>
      <c r="C283" s="1042"/>
      <c r="D283" s="1042"/>
      <c r="E283" s="1045"/>
      <c r="F283" s="1042"/>
    </row>
    <row r="284" spans="1:6" ht="12.75">
      <c r="A284" s="1041"/>
      <c r="B284" s="1041"/>
      <c r="C284" s="1042"/>
      <c r="D284" s="1042"/>
      <c r="E284" s="1045"/>
      <c r="F284" s="1042"/>
    </row>
    <row r="285" spans="1:6" ht="12.75">
      <c r="A285" s="1041"/>
      <c r="B285" s="1041"/>
      <c r="C285" s="1042">
        <f>85.02+81.06</f>
        <v>166.07999999999998</v>
      </c>
      <c r="D285" s="1042">
        <f>C285/2</f>
        <v>83.03999999999999</v>
      </c>
      <c r="E285" s="1046"/>
      <c r="F285" s="1042"/>
    </row>
    <row r="286" spans="1:6" ht="12.75">
      <c r="A286" s="1041"/>
      <c r="B286" s="1041"/>
      <c r="C286" s="1042"/>
      <c r="D286" s="1042" t="e">
        <f>D285*#REF!</f>
        <v>#REF!</v>
      </c>
      <c r="E286" s="1046"/>
      <c r="F286" s="1042"/>
    </row>
    <row r="287" spans="1:6" ht="12.75">
      <c r="A287" s="1041"/>
      <c r="B287" s="1041"/>
      <c r="C287" s="1042">
        <v>46.15</v>
      </c>
      <c r="D287" s="1042">
        <v>96.16</v>
      </c>
      <c r="E287" s="1046"/>
      <c r="F287" s="1042"/>
    </row>
    <row r="288" spans="1:6" ht="12.75">
      <c r="A288" s="1041"/>
      <c r="B288" s="1041"/>
      <c r="C288" s="1042">
        <v>18.1</v>
      </c>
      <c r="D288" s="1042">
        <v>151.82</v>
      </c>
      <c r="E288" s="1046"/>
      <c r="F288" s="1042"/>
    </row>
    <row r="289" spans="1:6" ht="12.75">
      <c r="A289" s="1041"/>
      <c r="B289" s="1041"/>
      <c r="C289" s="1042">
        <f>C287*C288</f>
        <v>835.315</v>
      </c>
      <c r="D289" s="1042">
        <f>D287+D288</f>
        <v>247.98</v>
      </c>
      <c r="E289" s="1046">
        <f>D289+C289</f>
        <v>1083.295</v>
      </c>
      <c r="F289" s="1042"/>
    </row>
    <row r="290" spans="3:5" ht="12.75">
      <c r="C290" s="1037">
        <v>0.9</v>
      </c>
      <c r="D290" s="1037">
        <v>0.4</v>
      </c>
      <c r="E290" s="1044"/>
    </row>
    <row r="291" spans="3:5" ht="12.75">
      <c r="C291" s="1037">
        <f>C289*C290</f>
        <v>751.7835000000001</v>
      </c>
      <c r="D291" s="1037">
        <f>D289*D290</f>
        <v>99.19200000000001</v>
      </c>
      <c r="E291" s="1044"/>
    </row>
    <row r="292" ht="12.75">
      <c r="E292" s="1044"/>
    </row>
    <row r="293" spans="3:5" ht="12.75">
      <c r="C293" s="1037">
        <f>C291+D291</f>
        <v>850.9755000000001</v>
      </c>
      <c r="E293" s="1044"/>
    </row>
    <row r="294" ht="12.75">
      <c r="E294" s="1044"/>
    </row>
    <row r="295" ht="12.75">
      <c r="E295" s="1044"/>
    </row>
    <row r="315" ht="12.75">
      <c r="D315" s="1037">
        <v>800</v>
      </c>
    </row>
    <row r="316" ht="12.75">
      <c r="D316" s="1037">
        <v>6</v>
      </c>
    </row>
    <row r="317" ht="12.75">
      <c r="D317" s="1037">
        <f>D315/D316</f>
        <v>133.33333333333334</v>
      </c>
    </row>
    <row r="332" ht="12.75">
      <c r="C332" s="1037">
        <v>150000</v>
      </c>
    </row>
    <row r="333" ht="12.75">
      <c r="C333" s="1037">
        <f>C332*RAB!K379</f>
        <v>0</v>
      </c>
    </row>
    <row r="344" ht="12.75">
      <c r="B344" s="1037">
        <v>1</v>
      </c>
    </row>
    <row r="346" ht="12.75">
      <c r="B346" s="1034">
        <v>450000</v>
      </c>
    </row>
    <row r="347" ht="12.75">
      <c r="B347" s="1034">
        <v>929000</v>
      </c>
    </row>
    <row r="348" ht="12.75">
      <c r="B348" s="1034">
        <v>439500</v>
      </c>
    </row>
    <row r="349" ht="12.75">
      <c r="B349" s="1034">
        <v>184875</v>
      </c>
    </row>
    <row r="350" ht="12.75">
      <c r="B350" s="1034">
        <v>97680</v>
      </c>
    </row>
    <row r="351" ht="12.75">
      <c r="B351" s="1034">
        <v>155560</v>
      </c>
    </row>
    <row r="352" ht="12.75">
      <c r="B352" s="1034">
        <v>1000000</v>
      </c>
    </row>
    <row r="353" ht="12.75">
      <c r="B353" s="1034">
        <v>175000</v>
      </c>
    </row>
    <row r="356" ht="12.75">
      <c r="B356" s="1034">
        <v>750000</v>
      </c>
    </row>
    <row r="358" ht="12.75">
      <c r="B358" s="1034">
        <f>B351</f>
        <v>155560</v>
      </c>
    </row>
    <row r="359" ht="12.75">
      <c r="B359" s="1034">
        <v>193575</v>
      </c>
    </row>
    <row r="360" ht="12.75">
      <c r="B360" s="1034">
        <v>111650</v>
      </c>
    </row>
    <row r="361" ht="12.75">
      <c r="B361" s="1034">
        <v>184875</v>
      </c>
    </row>
    <row r="362" ht="12.75">
      <c r="B362" s="1034">
        <v>750000</v>
      </c>
    </row>
    <row r="366" ht="12.75">
      <c r="B366" s="1034">
        <v>1300000</v>
      </c>
    </row>
    <row r="367" ht="12.75">
      <c r="B367" s="1034">
        <v>111650</v>
      </c>
    </row>
    <row r="368" ht="12.75">
      <c r="B368" s="1034">
        <v>16740</v>
      </c>
    </row>
    <row r="369" ht="12.75">
      <c r="B369" s="1034">
        <v>21960</v>
      </c>
    </row>
    <row r="370" ht="12.75">
      <c r="B370" s="1034">
        <v>46500</v>
      </c>
    </row>
    <row r="371" ht="12.75">
      <c r="B371" s="1034">
        <v>88000</v>
      </c>
    </row>
    <row r="372" ht="12.75">
      <c r="B372" s="1034">
        <v>51320</v>
      </c>
    </row>
    <row r="373" ht="12.75">
      <c r="B373" s="1034">
        <v>1250000</v>
      </c>
    </row>
    <row r="374" ht="12.75">
      <c r="B374" s="1034">
        <v>850000</v>
      </c>
    </row>
    <row r="378" ht="12.75">
      <c r="B378" s="1034">
        <v>900000</v>
      </c>
    </row>
    <row r="379" ht="12.75">
      <c r="B379" s="1034">
        <v>55000</v>
      </c>
    </row>
    <row r="380" ht="12.75">
      <c r="B380" s="1034">
        <v>55000</v>
      </c>
    </row>
    <row r="381" ht="12.75">
      <c r="B381" s="1034">
        <v>195000</v>
      </c>
    </row>
    <row r="382" ht="12.75">
      <c r="B382" s="1034">
        <v>750000</v>
      </c>
    </row>
    <row r="386" spans="1:6" ht="12.75">
      <c r="A386" s="1041"/>
      <c r="B386" s="1041">
        <v>2750000</v>
      </c>
      <c r="C386" s="1042"/>
      <c r="D386" s="1042"/>
      <c r="E386" s="1045"/>
      <c r="F386" s="1042"/>
    </row>
    <row r="387" spans="1:6" ht="12.75">
      <c r="A387" s="1041"/>
      <c r="B387" s="1041">
        <v>250000</v>
      </c>
      <c r="C387" s="1042"/>
      <c r="D387" s="1042"/>
      <c r="E387" s="1045"/>
      <c r="F387" s="1042"/>
    </row>
    <row r="388" spans="1:6" ht="12.75">
      <c r="A388" s="1041"/>
      <c r="B388" s="1041">
        <v>750000</v>
      </c>
      <c r="C388" s="1042"/>
      <c r="D388" s="1042"/>
      <c r="E388" s="1045"/>
      <c r="F388" s="1042"/>
    </row>
    <row r="389" ht="12.75">
      <c r="B389" s="1034">
        <v>550000</v>
      </c>
    </row>
    <row r="390" ht="12.75">
      <c r="B390" s="1034">
        <v>155000</v>
      </c>
    </row>
    <row r="392" ht="12.75">
      <c r="B392" s="1034">
        <v>450000</v>
      </c>
    </row>
    <row r="393" ht="12.75">
      <c r="B393" s="1034">
        <v>1000000</v>
      </c>
    </row>
    <row r="396" ht="12.75">
      <c r="B396" s="1039"/>
    </row>
    <row r="398" ht="12.75">
      <c r="B398" s="1039">
        <v>100000</v>
      </c>
    </row>
    <row r="399" ht="12.75">
      <c r="B399" s="1039">
        <v>100000</v>
      </c>
    </row>
    <row r="400" ht="12.75">
      <c r="B400" s="1039">
        <v>402000</v>
      </c>
    </row>
    <row r="401" ht="12.75">
      <c r="B401" s="1039">
        <v>324000</v>
      </c>
    </row>
    <row r="402" ht="12.75">
      <c r="B402" s="1039">
        <v>225000</v>
      </c>
    </row>
    <row r="403" ht="12.75">
      <c r="B403" s="1039">
        <v>75000</v>
      </c>
    </row>
    <row r="404" ht="12.75">
      <c r="B404" s="1039">
        <v>250000</v>
      </c>
    </row>
    <row r="405" ht="12.75">
      <c r="B405" s="1039">
        <v>28000</v>
      </c>
    </row>
    <row r="406" spans="2:3" ht="12.75">
      <c r="B406" s="1039">
        <v>6000</v>
      </c>
      <c r="C406" s="1037">
        <f>7800/1.3</f>
        <v>6000</v>
      </c>
    </row>
    <row r="407" spans="2:3" ht="12.75">
      <c r="B407" s="1039">
        <v>18000</v>
      </c>
      <c r="C407" s="1037">
        <f>23400/1.3</f>
        <v>18000</v>
      </c>
    </row>
    <row r="408" ht="12.75">
      <c r="B408" s="1039">
        <v>20500</v>
      </c>
    </row>
    <row r="409" spans="2:3" ht="12.75">
      <c r="B409" s="1039">
        <f>24050/1.3</f>
        <v>18500</v>
      </c>
      <c r="C409" s="1037">
        <f>26650/1.3</f>
        <v>20500</v>
      </c>
    </row>
    <row r="410" ht="12.75">
      <c r="B410" s="1039">
        <f>1060800/1.3</f>
        <v>816000</v>
      </c>
    </row>
    <row r="414" ht="12.75">
      <c r="B414" s="1034">
        <f>80*60*350</f>
        <v>1680000</v>
      </c>
    </row>
    <row r="415" ht="12.75">
      <c r="B415" s="1034">
        <v>810000</v>
      </c>
    </row>
    <row r="416" ht="12.75">
      <c r="B416" s="1034">
        <v>810000</v>
      </c>
    </row>
    <row r="417" ht="12.75">
      <c r="B417" s="1034">
        <v>785000</v>
      </c>
    </row>
    <row r="418" ht="12.75">
      <c r="B418" s="1034">
        <v>810000</v>
      </c>
    </row>
    <row r="419" ht="12.75">
      <c r="B419" s="1034">
        <v>385000</v>
      </c>
    </row>
    <row r="420" ht="12.75">
      <c r="B420" s="1034">
        <v>165000</v>
      </c>
    </row>
    <row r="421" ht="12.75">
      <c r="B421" s="1034">
        <v>27000</v>
      </c>
    </row>
    <row r="422" ht="12.75">
      <c r="B422" s="1034">
        <v>175500</v>
      </c>
    </row>
    <row r="423" ht="12.75">
      <c r="B423" s="1034">
        <v>81000</v>
      </c>
    </row>
    <row r="424" ht="12.75">
      <c r="B424" s="1034">
        <v>67500</v>
      </c>
    </row>
    <row r="425" ht="12.75">
      <c r="B425" s="1034">
        <v>108000</v>
      </c>
    </row>
    <row r="426" ht="12.75">
      <c r="B426" s="1034">
        <v>810000</v>
      </c>
    </row>
    <row r="428" ht="12.75">
      <c r="B428" s="1034">
        <v>28350</v>
      </c>
    </row>
    <row r="429" ht="12.75">
      <c r="B429" s="1034">
        <v>60750</v>
      </c>
    </row>
    <row r="432" ht="12.75">
      <c r="B432" s="1034">
        <f>60*40*350</f>
        <v>840000</v>
      </c>
    </row>
    <row r="433" ht="12.75">
      <c r="B433" s="1034">
        <f>64025/1.3</f>
        <v>49250</v>
      </c>
    </row>
    <row r="434" ht="12.75">
      <c r="B434" s="1034">
        <v>47250</v>
      </c>
    </row>
    <row r="435" ht="12.75">
      <c r="B435" s="1034">
        <v>810000</v>
      </c>
    </row>
    <row r="436" ht="12.75">
      <c r="B436" s="1034">
        <f>41600/1.3</f>
        <v>32000</v>
      </c>
    </row>
    <row r="437" ht="12.75">
      <c r="B437" s="1034">
        <v>385000</v>
      </c>
    </row>
    <row r="438" ht="12.75">
      <c r="B438" s="1034">
        <v>165000</v>
      </c>
    </row>
    <row r="439" ht="12.75">
      <c r="B439" s="1034">
        <v>810000</v>
      </c>
    </row>
    <row r="441" ht="12.75">
      <c r="B441" s="1034">
        <v>28350</v>
      </c>
    </row>
    <row r="442" ht="12.75">
      <c r="B442" s="1034">
        <v>60750</v>
      </c>
    </row>
    <row r="445" ht="12.75">
      <c r="B445" s="1034">
        <v>1950000</v>
      </c>
    </row>
    <row r="446" ht="12.75">
      <c r="B446" s="1034">
        <v>438750</v>
      </c>
    </row>
    <row r="447" ht="12.75">
      <c r="B447" s="1034">
        <v>47250</v>
      </c>
    </row>
    <row r="448" ht="12.75">
      <c r="B448" s="1034">
        <v>385000</v>
      </c>
    </row>
    <row r="449" ht="12.75">
      <c r="B449" s="1034">
        <v>27000</v>
      </c>
    </row>
    <row r="450" ht="12.75">
      <c r="B450" s="1034">
        <v>810000</v>
      </c>
    </row>
    <row r="452" ht="12.75">
      <c r="B452" s="1034">
        <v>28350</v>
      </c>
    </row>
    <row r="453" ht="12.75">
      <c r="B453" s="1034">
        <v>60750</v>
      </c>
    </row>
    <row r="457" ht="12.75">
      <c r="B457" s="1034">
        <v>15220000</v>
      </c>
    </row>
    <row r="458" ht="12.75">
      <c r="B458" s="1034">
        <v>4200000</v>
      </c>
    </row>
    <row r="459" ht="12.75">
      <c r="B459" s="1034">
        <v>3270000</v>
      </c>
    </row>
    <row r="460" ht="12.75">
      <c r="B460" s="1034">
        <v>50000</v>
      </c>
    </row>
    <row r="461" ht="12.75">
      <c r="B461" s="1034">
        <v>275000</v>
      </c>
    </row>
    <row r="462" ht="12.75">
      <c r="B462" s="1034">
        <v>150000</v>
      </c>
    </row>
    <row r="499" ht="12.75">
      <c r="B499" s="1034">
        <v>10530</v>
      </c>
    </row>
    <row r="505" ht="12.75">
      <c r="B505" s="1034">
        <v>378000</v>
      </c>
    </row>
    <row r="506" ht="12.75">
      <c r="B506" s="1034">
        <v>276750</v>
      </c>
    </row>
    <row r="507" ht="12.75">
      <c r="B507" s="1034">
        <v>102600</v>
      </c>
    </row>
    <row r="508" ht="12.75">
      <c r="B508" s="1034">
        <v>19240</v>
      </c>
    </row>
    <row r="509" ht="12.75">
      <c r="B509" s="1034">
        <v>19240</v>
      </c>
    </row>
    <row r="510" spans="1:6" ht="12.75">
      <c r="A510" s="1041"/>
      <c r="B510" s="1034">
        <f>47385/1.3</f>
        <v>36450</v>
      </c>
      <c r="C510" s="1042"/>
      <c r="D510" s="1042"/>
      <c r="E510" s="1045"/>
      <c r="F510" s="1042"/>
    </row>
  </sheetData>
  <sheetProtection/>
  <printOptions/>
  <pageMargins left="0.75" right="0.75" top="1" bottom="1" header="0.5" footer="0.5"/>
  <pageSetup orientation="portrait" r:id="rId1"/>
  <ignoredErrors>
    <ignoredError sqref="C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F978"/>
  <sheetViews>
    <sheetView zoomScaleSheetLayoutView="75" zoomScalePageLayoutView="0" workbookViewId="0" topLeftCell="C1">
      <selection activeCell="N724" sqref="N724"/>
    </sheetView>
  </sheetViews>
  <sheetFormatPr defaultColWidth="9.77734375" defaultRowHeight="15.75"/>
  <cols>
    <col min="1" max="1" width="5.77734375" style="557" customWidth="1"/>
    <col min="2" max="2" width="2.5546875" style="557" customWidth="1"/>
    <col min="3" max="3" width="6.21484375" style="557" customWidth="1"/>
    <col min="4" max="4" width="2.4453125" style="557" customWidth="1"/>
    <col min="5" max="5" width="10.21484375" style="557" customWidth="1"/>
    <col min="6" max="6" width="13.21484375" style="557" customWidth="1"/>
    <col min="7" max="7" width="5.3359375" style="557" customWidth="1"/>
    <col min="8" max="8" width="7.4453125" style="557" customWidth="1"/>
    <col min="9" max="9" width="6.77734375" style="557" customWidth="1"/>
    <col min="10" max="10" width="5.77734375" style="557" customWidth="1"/>
    <col min="11" max="11" width="9.3359375" style="557" customWidth="1"/>
    <col min="12" max="12" width="11.77734375" style="557" customWidth="1"/>
    <col min="13" max="13" width="12.88671875" style="557" customWidth="1"/>
    <col min="14" max="14" width="14.3359375" style="586" customWidth="1"/>
    <col min="15" max="18" width="5.3359375" style="557" customWidth="1"/>
    <col min="19" max="19" width="5.3359375" style="561" customWidth="1"/>
    <col min="20" max="21" width="5.3359375" style="557" customWidth="1"/>
    <col min="22" max="22" width="8.77734375" style="557" customWidth="1"/>
    <col min="23" max="23" width="9.4453125" style="557" customWidth="1"/>
    <col min="24" max="24" width="7.3359375" style="557" customWidth="1"/>
    <col min="25" max="25" width="9.5546875" style="557" customWidth="1"/>
    <col min="26" max="26" width="5.77734375" style="557" customWidth="1"/>
    <col min="27" max="27" width="5.21484375" style="557" customWidth="1"/>
    <col min="28" max="28" width="11.21484375" style="557" customWidth="1"/>
    <col min="29" max="29" width="17.77734375" style="557" customWidth="1"/>
    <col min="30" max="30" width="1.77734375" style="557" customWidth="1"/>
    <col min="31" max="31" width="2.77734375" style="557" customWidth="1"/>
    <col min="32" max="32" width="18.77734375" style="557" customWidth="1"/>
    <col min="33" max="33" width="1.77734375" style="557" customWidth="1"/>
    <col min="34" max="34" width="9.77734375" style="557" customWidth="1"/>
    <col min="35" max="35" width="1.77734375" style="557" customWidth="1"/>
    <col min="36" max="36" width="3.77734375" style="557" customWidth="1"/>
    <col min="37" max="37" width="10.77734375" style="557" customWidth="1"/>
    <col min="38" max="38" width="4.77734375" style="557" customWidth="1"/>
    <col min="39" max="39" width="9.77734375" style="557" customWidth="1"/>
    <col min="40" max="40" width="1.77734375" style="557" customWidth="1"/>
    <col min="41" max="41" width="9.77734375" style="557" customWidth="1"/>
    <col min="42" max="42" width="1.77734375" style="557" customWidth="1"/>
    <col min="43" max="43" width="10.77734375" style="557" customWidth="1"/>
    <col min="44" max="44" width="1.77734375" style="557" customWidth="1"/>
    <col min="45" max="45" width="14.77734375" style="557" customWidth="1"/>
    <col min="46" max="46" width="1.77734375" style="557" customWidth="1"/>
    <col min="47" max="48" width="19.77734375" style="557" customWidth="1"/>
    <col min="49" max="49" width="1.77734375" style="557" customWidth="1"/>
    <col min="50" max="51" width="2.77734375" style="557" customWidth="1"/>
    <col min="52" max="52" width="14.77734375" style="557" customWidth="1"/>
    <col min="53" max="53" width="2.77734375" style="557" customWidth="1"/>
    <col min="54" max="54" width="3.77734375" style="557" customWidth="1"/>
    <col min="55" max="55" width="15.77734375" style="557" customWidth="1"/>
    <col min="56" max="56" width="2.77734375" style="557" customWidth="1"/>
    <col min="57" max="57" width="3.77734375" style="557" customWidth="1"/>
    <col min="58" max="58" width="15.77734375" style="557" customWidth="1"/>
    <col min="59" max="59" width="1.77734375" style="557" customWidth="1"/>
    <col min="60" max="60" width="15.77734375" style="557" customWidth="1"/>
    <col min="61" max="61" width="3.77734375" style="557" customWidth="1"/>
    <col min="62" max="62" width="15.77734375" style="557" customWidth="1"/>
    <col min="63" max="63" width="1.77734375" style="557" customWidth="1"/>
    <col min="64" max="64" width="9.77734375" style="557" customWidth="1"/>
    <col min="65" max="65" width="1.77734375" style="557" customWidth="1"/>
    <col min="66" max="66" width="7.77734375" style="557" customWidth="1"/>
    <col min="67" max="67" width="1.77734375" style="557" customWidth="1"/>
    <col min="68" max="68" width="12.77734375" style="557" customWidth="1"/>
    <col min="69" max="69" width="1.77734375" style="557" customWidth="1"/>
    <col min="70" max="70" width="12.77734375" style="557" customWidth="1"/>
    <col min="71" max="71" width="1.77734375" style="557" customWidth="1"/>
    <col min="72" max="72" width="12.77734375" style="557" customWidth="1"/>
    <col min="73" max="73" width="1.77734375" style="557" customWidth="1"/>
    <col min="74" max="74" width="17.77734375" style="557" customWidth="1"/>
    <col min="75" max="75" width="1.77734375" style="557" customWidth="1"/>
    <col min="76" max="16384" width="9.77734375" style="557" customWidth="1"/>
  </cols>
  <sheetData>
    <row r="1" spans="3:58" ht="15" customHeight="1">
      <c r="C1" s="558"/>
      <c r="D1" s="558"/>
      <c r="E1" s="558"/>
      <c r="F1" s="558"/>
      <c r="G1" s="558"/>
      <c r="H1" s="558"/>
      <c r="I1" s="558"/>
      <c r="J1" s="558"/>
      <c r="K1" s="558"/>
      <c r="L1" s="559"/>
      <c r="M1" s="559"/>
      <c r="N1" s="560"/>
      <c r="O1" s="559"/>
      <c r="P1" s="559"/>
      <c r="X1" s="562"/>
      <c r="Z1" s="562"/>
      <c r="AA1" s="562"/>
      <c r="AB1" s="562"/>
      <c r="AD1" s="562"/>
      <c r="AE1" s="562"/>
      <c r="AF1" s="562"/>
      <c r="BC1" s="562"/>
      <c r="BF1" s="562"/>
    </row>
    <row r="2" spans="3:58" ht="43.5" customHeight="1">
      <c r="C2" s="649"/>
      <c r="D2" s="1128" t="s">
        <v>930</v>
      </c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559"/>
      <c r="P2" s="559"/>
      <c r="X2" s="562"/>
      <c r="Z2" s="562"/>
      <c r="AA2" s="562"/>
      <c r="AB2" s="562"/>
      <c r="AD2" s="562"/>
      <c r="AE2" s="562"/>
      <c r="AF2" s="562"/>
      <c r="BC2" s="562"/>
      <c r="BF2" s="562"/>
    </row>
    <row r="3" spans="3:58" ht="15" customHeight="1">
      <c r="C3" s="558"/>
      <c r="D3" s="558"/>
      <c r="E3" s="558"/>
      <c r="F3" s="558"/>
      <c r="G3" s="558"/>
      <c r="H3" s="558"/>
      <c r="I3" s="558"/>
      <c r="J3" s="558"/>
      <c r="K3" s="558"/>
      <c r="L3" s="559"/>
      <c r="M3" s="559"/>
      <c r="N3" s="560"/>
      <c r="O3" s="559"/>
      <c r="P3" s="559"/>
      <c r="X3" s="562"/>
      <c r="Z3" s="562"/>
      <c r="AA3" s="562"/>
      <c r="AB3" s="562"/>
      <c r="AD3" s="562"/>
      <c r="AE3" s="562"/>
      <c r="AF3" s="562"/>
      <c r="BC3" s="562"/>
      <c r="BF3" s="562"/>
    </row>
    <row r="4" spans="3:58" ht="15" customHeight="1">
      <c r="C4" s="558"/>
      <c r="D4" s="563">
        <f>RAB!$C$12</f>
        <v>0</v>
      </c>
      <c r="E4" s="563"/>
      <c r="F4" s="563"/>
      <c r="G4" s="558"/>
      <c r="H4" s="558"/>
      <c r="I4" s="558"/>
      <c r="J4" s="558"/>
      <c r="K4" s="558"/>
      <c r="L4" s="559"/>
      <c r="M4" s="559"/>
      <c r="N4" s="560"/>
      <c r="O4" s="559"/>
      <c r="P4" s="559"/>
      <c r="X4" s="562"/>
      <c r="Z4" s="562"/>
      <c r="AA4" s="562"/>
      <c r="AB4" s="562"/>
      <c r="AD4" s="562"/>
      <c r="AE4" s="562"/>
      <c r="AF4" s="562"/>
      <c r="BC4" s="562"/>
      <c r="BF4" s="562"/>
    </row>
    <row r="5" spans="3:58" ht="15" customHeight="1">
      <c r="C5" s="558"/>
      <c r="D5" s="563" t="str">
        <f>RAB!$C$13</f>
        <v>PEKERJAAN</v>
      </c>
      <c r="E5" s="563"/>
      <c r="F5" s="563" t="str">
        <f>RAB!$F$13</f>
        <v>: </v>
      </c>
      <c r="G5" s="558"/>
      <c r="H5" s="558"/>
      <c r="I5" s="558"/>
      <c r="J5" s="558"/>
      <c r="K5" s="558"/>
      <c r="L5" s="559"/>
      <c r="M5" s="559"/>
      <c r="N5" s="560"/>
      <c r="O5" s="559"/>
      <c r="P5" s="559"/>
      <c r="X5" s="562"/>
      <c r="Z5" s="562"/>
      <c r="AA5" s="562"/>
      <c r="AB5" s="562"/>
      <c r="AD5" s="562"/>
      <c r="AE5" s="562"/>
      <c r="AF5" s="562"/>
      <c r="BC5" s="562"/>
      <c r="BF5" s="562"/>
    </row>
    <row r="6" spans="3:58" ht="15" customHeight="1">
      <c r="C6" s="558"/>
      <c r="D6" s="563" t="str">
        <f>RAB!$C$14</f>
        <v>LOKASI</v>
      </c>
      <c r="E6" s="563"/>
      <c r="F6" s="563" t="str">
        <f>RAB!$F$14</f>
        <v>: </v>
      </c>
      <c r="G6" s="558"/>
      <c r="H6" s="558"/>
      <c r="I6" s="558"/>
      <c r="J6" s="558"/>
      <c r="K6" s="558"/>
      <c r="L6" s="559"/>
      <c r="M6" s="559"/>
      <c r="N6" s="560"/>
      <c r="O6" s="559"/>
      <c r="P6" s="559"/>
      <c r="X6" s="562"/>
      <c r="Z6" s="562"/>
      <c r="AA6" s="562"/>
      <c r="AB6" s="562"/>
      <c r="AD6" s="562"/>
      <c r="AE6" s="562"/>
      <c r="AF6" s="562"/>
      <c r="BC6" s="562"/>
      <c r="BF6" s="562"/>
    </row>
    <row r="7" spans="3:58" ht="15" customHeight="1">
      <c r="C7" s="558"/>
      <c r="D7" s="563" t="str">
        <f>RAB!$C$15</f>
        <v>TAHUN</v>
      </c>
      <c r="E7" s="563"/>
      <c r="F7" s="563">
        <f>RAB!$F$15</f>
        <v>0</v>
      </c>
      <c r="G7" s="558"/>
      <c r="H7" s="558"/>
      <c r="I7" s="558"/>
      <c r="J7" s="558"/>
      <c r="K7" s="558"/>
      <c r="L7" s="559"/>
      <c r="M7" s="559"/>
      <c r="N7" s="560"/>
      <c r="O7" s="559"/>
      <c r="P7" s="559"/>
      <c r="X7" s="562"/>
      <c r="Z7" s="562"/>
      <c r="AA7" s="562"/>
      <c r="AB7" s="562"/>
      <c r="AD7" s="562"/>
      <c r="AE7" s="562"/>
      <c r="AF7" s="562"/>
      <c r="BC7" s="562"/>
      <c r="BF7" s="562"/>
    </row>
    <row r="8" spans="3:58" s="561" customFormat="1" ht="12" customHeight="1"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559"/>
      <c r="P8" s="559"/>
      <c r="X8" s="564"/>
      <c r="Z8" s="564"/>
      <c r="AA8" s="564"/>
      <c r="AD8" s="564"/>
      <c r="AE8" s="564"/>
      <c r="AQ8" s="564"/>
      <c r="AV8" s="564"/>
      <c r="AZ8" s="564"/>
      <c r="BC8" s="564"/>
      <c r="BF8" s="564"/>
    </row>
    <row r="9" spans="3:58" s="561" customFormat="1" ht="15" customHeight="1">
      <c r="C9" s="1129" t="s">
        <v>22</v>
      </c>
      <c r="D9" s="1131" t="s">
        <v>21</v>
      </c>
      <c r="E9" s="1132"/>
      <c r="F9" s="1132"/>
      <c r="G9" s="1132"/>
      <c r="H9" s="1133"/>
      <c r="I9" s="1137" t="s">
        <v>17</v>
      </c>
      <c r="J9" s="1137" t="s">
        <v>16</v>
      </c>
      <c r="K9" s="1137" t="s">
        <v>15</v>
      </c>
      <c r="L9" s="565" t="s">
        <v>18</v>
      </c>
      <c r="M9" s="566" t="s">
        <v>20</v>
      </c>
      <c r="N9" s="566" t="s">
        <v>19</v>
      </c>
      <c r="O9" s="559"/>
      <c r="P9" s="559"/>
      <c r="X9" s="564"/>
      <c r="Z9" s="564"/>
      <c r="AA9" s="564"/>
      <c r="AD9" s="564"/>
      <c r="AE9" s="564"/>
      <c r="AQ9" s="564"/>
      <c r="AV9" s="564"/>
      <c r="AZ9" s="564"/>
      <c r="BC9" s="564"/>
      <c r="BF9" s="564"/>
    </row>
    <row r="10" spans="3:58" s="561" customFormat="1" ht="15" customHeight="1">
      <c r="C10" s="1130"/>
      <c r="D10" s="1134"/>
      <c r="E10" s="1135"/>
      <c r="F10" s="1135"/>
      <c r="G10" s="1135"/>
      <c r="H10" s="1136"/>
      <c r="I10" s="1138"/>
      <c r="J10" s="1138"/>
      <c r="K10" s="1138"/>
      <c r="L10" s="567" t="s">
        <v>44</v>
      </c>
      <c r="M10" s="568" t="s">
        <v>44</v>
      </c>
      <c r="N10" s="569" t="s">
        <v>44</v>
      </c>
      <c r="O10" s="559"/>
      <c r="P10" s="559"/>
      <c r="X10" s="564"/>
      <c r="Z10" s="564"/>
      <c r="AA10" s="564"/>
      <c r="AD10" s="564"/>
      <c r="AE10" s="564"/>
      <c r="AQ10" s="564"/>
      <c r="AV10" s="564"/>
      <c r="AZ10" s="564"/>
      <c r="BC10" s="564"/>
      <c r="BF10" s="564"/>
    </row>
    <row r="11" spans="3:58" s="561" customFormat="1" ht="15" customHeight="1">
      <c r="C11" s="650"/>
      <c r="D11" s="710"/>
      <c r="E11" s="600"/>
      <c r="F11" s="600"/>
      <c r="G11" s="600"/>
      <c r="H11" s="711"/>
      <c r="I11" s="570"/>
      <c r="J11" s="570"/>
      <c r="K11" s="571"/>
      <c r="L11" s="572"/>
      <c r="M11" s="572"/>
      <c r="N11" s="573"/>
      <c r="O11" s="559"/>
      <c r="P11" s="559"/>
      <c r="X11" s="564"/>
      <c r="Z11" s="564"/>
      <c r="AA11" s="564"/>
      <c r="AD11" s="564"/>
      <c r="AE11" s="564"/>
      <c r="AQ11" s="564"/>
      <c r="AZ11" s="564"/>
      <c r="BC11" s="564"/>
      <c r="BF11" s="564"/>
    </row>
    <row r="12" spans="3:58" s="561" customFormat="1" ht="15" customHeight="1">
      <c r="C12" s="694">
        <v>1</v>
      </c>
      <c r="D12" s="686"/>
      <c r="E12" s="687" t="s">
        <v>214</v>
      </c>
      <c r="F12" s="595"/>
      <c r="G12" s="590"/>
      <c r="H12" s="596"/>
      <c r="I12" s="654" t="s">
        <v>7</v>
      </c>
      <c r="J12" s="655" t="s">
        <v>109</v>
      </c>
      <c r="K12" s="653"/>
      <c r="L12" s="656"/>
      <c r="M12" s="656"/>
      <c r="N12" s="657">
        <f>SUM(M13:M14)</f>
        <v>13600</v>
      </c>
      <c r="O12" s="559"/>
      <c r="P12" s="559"/>
      <c r="X12" s="564"/>
      <c r="Z12" s="564"/>
      <c r="AA12" s="564"/>
      <c r="AB12" s="564"/>
      <c r="AD12" s="564"/>
      <c r="AE12" s="564"/>
      <c r="AQ12" s="564"/>
      <c r="AZ12" s="564"/>
      <c r="BC12" s="564"/>
      <c r="BF12" s="564"/>
    </row>
    <row r="13" spans="3:58" s="561" customFormat="1" ht="15" customHeight="1">
      <c r="C13" s="694"/>
      <c r="D13" s="686"/>
      <c r="E13" s="588" t="s">
        <v>43</v>
      </c>
      <c r="F13" s="595"/>
      <c r="G13" s="590"/>
      <c r="H13" s="596"/>
      <c r="I13" s="597"/>
      <c r="J13" s="592"/>
      <c r="K13" s="598">
        <v>0.4</v>
      </c>
      <c r="L13" s="658">
        <f>Bhn!$M$23</f>
        <v>30000</v>
      </c>
      <c r="M13" s="658">
        <f>K13*L13</f>
        <v>12000</v>
      </c>
      <c r="N13" s="657"/>
      <c r="O13" s="559"/>
      <c r="P13" s="559"/>
      <c r="X13" s="564"/>
      <c r="Z13" s="564"/>
      <c r="AA13" s="564"/>
      <c r="AD13" s="564"/>
      <c r="AE13" s="564"/>
      <c r="AQ13" s="564"/>
      <c r="AZ13" s="564"/>
      <c r="BC13" s="564"/>
      <c r="BF13" s="564"/>
    </row>
    <row r="14" spans="3:58" s="561" customFormat="1" ht="15" customHeight="1">
      <c r="C14" s="694"/>
      <c r="D14" s="686"/>
      <c r="E14" s="588" t="s">
        <v>46</v>
      </c>
      <c r="F14" s="595"/>
      <c r="G14" s="590"/>
      <c r="H14" s="596"/>
      <c r="I14" s="597"/>
      <c r="J14" s="592"/>
      <c r="K14" s="598">
        <v>0.04</v>
      </c>
      <c r="L14" s="658">
        <f>Bhn!$M$24</f>
        <v>40000</v>
      </c>
      <c r="M14" s="658">
        <f>K14*L14</f>
        <v>1600</v>
      </c>
      <c r="N14" s="659"/>
      <c r="O14" s="576"/>
      <c r="P14" s="576"/>
      <c r="X14" s="564"/>
      <c r="Z14" s="564"/>
      <c r="AA14" s="564"/>
      <c r="AB14" s="564"/>
      <c r="AD14" s="564"/>
      <c r="AE14" s="564"/>
      <c r="AQ14" s="564"/>
      <c r="AZ14" s="564"/>
      <c r="BC14" s="564"/>
      <c r="BF14" s="564"/>
    </row>
    <row r="15" spans="3:58" s="561" customFormat="1" ht="15" customHeight="1">
      <c r="C15" s="694"/>
      <c r="D15" s="686"/>
      <c r="E15" s="588"/>
      <c r="F15" s="595"/>
      <c r="G15" s="590"/>
      <c r="H15" s="596"/>
      <c r="I15" s="597"/>
      <c r="J15" s="592"/>
      <c r="K15" s="598"/>
      <c r="L15" s="658"/>
      <c r="M15" s="658"/>
      <c r="N15" s="659"/>
      <c r="O15" s="576"/>
      <c r="P15" s="576"/>
      <c r="X15" s="564"/>
      <c r="Z15" s="564"/>
      <c r="AA15" s="564"/>
      <c r="AB15" s="564"/>
      <c r="AD15" s="564"/>
      <c r="AE15" s="564"/>
      <c r="AQ15" s="564"/>
      <c r="AZ15" s="564"/>
      <c r="BC15" s="564"/>
      <c r="BF15" s="564"/>
    </row>
    <row r="16" spans="3:58" s="561" customFormat="1" ht="15" customHeight="1">
      <c r="C16" s="694">
        <f>C12+1</f>
        <v>2</v>
      </c>
      <c r="D16" s="686"/>
      <c r="E16" s="687" t="s">
        <v>215</v>
      </c>
      <c r="F16" s="595"/>
      <c r="G16" s="590"/>
      <c r="H16" s="596"/>
      <c r="I16" s="654" t="s">
        <v>7</v>
      </c>
      <c r="J16" s="655" t="s">
        <v>109</v>
      </c>
      <c r="K16" s="653"/>
      <c r="L16" s="656"/>
      <c r="M16" s="656"/>
      <c r="N16" s="657">
        <f>SUM(M17:M18)</f>
        <v>24970</v>
      </c>
      <c r="O16" s="576"/>
      <c r="P16" s="576"/>
      <c r="X16" s="564"/>
      <c r="Z16" s="564"/>
      <c r="AA16" s="564"/>
      <c r="AB16" s="564"/>
      <c r="AD16" s="564"/>
      <c r="AE16" s="564"/>
      <c r="AQ16" s="564"/>
      <c r="AZ16" s="564"/>
      <c r="BC16" s="564"/>
      <c r="BF16" s="564"/>
    </row>
    <row r="17" spans="3:58" s="561" customFormat="1" ht="15" customHeight="1">
      <c r="C17" s="587"/>
      <c r="D17" s="686"/>
      <c r="E17" s="588" t="s">
        <v>43</v>
      </c>
      <c r="F17" s="595"/>
      <c r="G17" s="590"/>
      <c r="H17" s="596"/>
      <c r="I17" s="597"/>
      <c r="J17" s="592"/>
      <c r="K17" s="598">
        <v>0.735</v>
      </c>
      <c r="L17" s="658">
        <f>Bhn!$M$23</f>
        <v>30000</v>
      </c>
      <c r="M17" s="658">
        <f>K17*L17</f>
        <v>22050</v>
      </c>
      <c r="N17" s="657"/>
      <c r="O17" s="576"/>
      <c r="P17" s="576"/>
      <c r="X17" s="564"/>
      <c r="Z17" s="564"/>
      <c r="AA17" s="564"/>
      <c r="AB17" s="564"/>
      <c r="AD17" s="564"/>
      <c r="AE17" s="564"/>
      <c r="AQ17" s="564"/>
      <c r="AZ17" s="564"/>
      <c r="BC17" s="564"/>
      <c r="BF17" s="564"/>
    </row>
    <row r="18" spans="3:58" s="561" customFormat="1" ht="15" customHeight="1">
      <c r="C18" s="587"/>
      <c r="D18" s="686"/>
      <c r="E18" s="588" t="s">
        <v>46</v>
      </c>
      <c r="F18" s="595"/>
      <c r="G18" s="590"/>
      <c r="H18" s="596"/>
      <c r="I18" s="597"/>
      <c r="J18" s="592"/>
      <c r="K18" s="598">
        <v>0.073</v>
      </c>
      <c r="L18" s="658">
        <f>Bhn!$M$24</f>
        <v>40000</v>
      </c>
      <c r="M18" s="658">
        <f>K18*L18</f>
        <v>2920</v>
      </c>
      <c r="N18" s="659"/>
      <c r="O18" s="576"/>
      <c r="P18" s="576"/>
      <c r="X18" s="564"/>
      <c r="Z18" s="564"/>
      <c r="AA18" s="564"/>
      <c r="AB18" s="564"/>
      <c r="AD18" s="564"/>
      <c r="AE18" s="564"/>
      <c r="AQ18" s="564"/>
      <c r="AZ18" s="564"/>
      <c r="BC18" s="564"/>
      <c r="BF18" s="564"/>
    </row>
    <row r="19" spans="3:58" s="561" customFormat="1" ht="15" customHeight="1">
      <c r="C19" s="587"/>
      <c r="D19" s="686"/>
      <c r="E19" s="588"/>
      <c r="F19" s="595"/>
      <c r="G19" s="590"/>
      <c r="H19" s="596"/>
      <c r="I19" s="597"/>
      <c r="J19" s="592"/>
      <c r="K19" s="598"/>
      <c r="L19" s="658"/>
      <c r="M19" s="658"/>
      <c r="N19" s="659"/>
      <c r="O19" s="576"/>
      <c r="P19" s="576"/>
      <c r="X19" s="564"/>
      <c r="Z19" s="564"/>
      <c r="AA19" s="564"/>
      <c r="AB19" s="564"/>
      <c r="AD19" s="564"/>
      <c r="AE19" s="564"/>
      <c r="AQ19" s="564"/>
      <c r="AZ19" s="564"/>
      <c r="BC19" s="564"/>
      <c r="BF19" s="564"/>
    </row>
    <row r="20" spans="2:58" s="578" customFormat="1" ht="15" customHeight="1">
      <c r="B20" s="577"/>
      <c r="C20" s="694">
        <f>C16+1</f>
        <v>3</v>
      </c>
      <c r="D20" s="688"/>
      <c r="E20" s="687" t="s">
        <v>23</v>
      </c>
      <c r="F20" s="689"/>
      <c r="G20" s="689"/>
      <c r="H20" s="690"/>
      <c r="I20" s="654"/>
      <c r="J20" s="662" t="s">
        <v>109</v>
      </c>
      <c r="K20" s="661"/>
      <c r="L20" s="663" t="s">
        <v>1050</v>
      </c>
      <c r="M20" s="663"/>
      <c r="N20" s="659">
        <f>N12/2</f>
        <v>6800</v>
      </c>
      <c r="O20" s="579"/>
      <c r="P20" s="579"/>
      <c r="X20" s="580"/>
      <c r="Z20" s="580"/>
      <c r="AA20" s="580"/>
      <c r="AB20" s="580"/>
      <c r="AD20" s="580"/>
      <c r="AE20" s="580"/>
      <c r="AQ20" s="580"/>
      <c r="AV20" s="580"/>
      <c r="AZ20" s="580"/>
      <c r="BC20" s="580"/>
      <c r="BF20" s="580"/>
    </row>
    <row r="21" spans="2:58" s="561" customFormat="1" ht="15" customHeight="1">
      <c r="B21" s="581"/>
      <c r="C21" s="587"/>
      <c r="D21" s="686"/>
      <c r="E21" s="588"/>
      <c r="F21" s="590"/>
      <c r="G21" s="590"/>
      <c r="H21" s="596"/>
      <c r="I21" s="664"/>
      <c r="J21" s="592"/>
      <c r="K21" s="653"/>
      <c r="L21" s="656"/>
      <c r="M21" s="658"/>
      <c r="N21" s="659"/>
      <c r="O21" s="576"/>
      <c r="P21" s="576"/>
      <c r="X21" s="564"/>
      <c r="Z21" s="564"/>
      <c r="AA21" s="564"/>
      <c r="AB21" s="564"/>
      <c r="AD21" s="564"/>
      <c r="AE21" s="564"/>
      <c r="AQ21" s="564"/>
      <c r="AV21" s="564"/>
      <c r="AZ21" s="564"/>
      <c r="BC21" s="564"/>
      <c r="BF21" s="564"/>
    </row>
    <row r="22" spans="3:58" s="578" customFormat="1" ht="15" customHeight="1">
      <c r="C22" s="694">
        <f>C20+1</f>
        <v>4</v>
      </c>
      <c r="D22" s="688"/>
      <c r="E22" s="687" t="s">
        <v>133</v>
      </c>
      <c r="F22" s="691"/>
      <c r="G22" s="689"/>
      <c r="H22" s="690"/>
      <c r="I22" s="654" t="s">
        <v>7</v>
      </c>
      <c r="J22" s="655" t="s">
        <v>109</v>
      </c>
      <c r="K22" s="661"/>
      <c r="L22" s="657"/>
      <c r="M22" s="657"/>
      <c r="N22" s="657">
        <f>SUM(M23:M25)</f>
        <v>49900</v>
      </c>
      <c r="O22" s="560"/>
      <c r="P22" s="560"/>
      <c r="X22" s="580"/>
      <c r="AD22" s="580"/>
      <c r="AE22" s="580"/>
      <c r="AQ22" s="580"/>
      <c r="AV22" s="580"/>
      <c r="AZ22" s="580"/>
      <c r="BC22" s="580"/>
      <c r="BF22" s="580"/>
    </row>
    <row r="23" spans="3:58" s="561" customFormat="1" ht="15" customHeight="1">
      <c r="C23" s="587"/>
      <c r="D23" s="587"/>
      <c r="E23" s="588" t="s">
        <v>56</v>
      </c>
      <c r="F23" s="595"/>
      <c r="G23" s="590"/>
      <c r="H23" s="596"/>
      <c r="I23" s="597"/>
      <c r="J23" s="592" t="s">
        <v>134</v>
      </c>
      <c r="K23" s="598">
        <v>1.2</v>
      </c>
      <c r="L23" s="658">
        <f>Bhn!M36</f>
        <v>35000</v>
      </c>
      <c r="M23" s="658">
        <f>K23*L23</f>
        <v>42000</v>
      </c>
      <c r="N23" s="657"/>
      <c r="O23" s="559"/>
      <c r="P23" s="559"/>
      <c r="V23" s="564"/>
      <c r="X23" s="564"/>
      <c r="Z23" s="564"/>
      <c r="AA23" s="564"/>
      <c r="AD23" s="564"/>
      <c r="AE23" s="564"/>
      <c r="AQ23" s="564"/>
      <c r="AV23" s="564"/>
      <c r="AZ23" s="564"/>
      <c r="BC23" s="564"/>
      <c r="BF23" s="564"/>
    </row>
    <row r="24" spans="3:58" s="561" customFormat="1" ht="15" customHeight="1">
      <c r="C24" s="587"/>
      <c r="D24" s="587"/>
      <c r="E24" s="588" t="s">
        <v>43</v>
      </c>
      <c r="F24" s="595"/>
      <c r="G24" s="590"/>
      <c r="H24" s="596"/>
      <c r="I24" s="597"/>
      <c r="J24" s="592"/>
      <c r="K24" s="598">
        <v>0.25</v>
      </c>
      <c r="L24" s="658">
        <f>Bhn!$M$23</f>
        <v>30000</v>
      </c>
      <c r="M24" s="658">
        <f>K24*L24</f>
        <v>7500</v>
      </c>
      <c r="N24" s="657"/>
      <c r="O24" s="559"/>
      <c r="P24" s="559"/>
      <c r="V24" s="564"/>
      <c r="X24" s="564"/>
      <c r="Z24" s="564"/>
      <c r="AA24" s="564"/>
      <c r="AB24" s="564"/>
      <c r="AD24" s="564"/>
      <c r="AE24" s="564"/>
      <c r="AQ24" s="564"/>
      <c r="AV24" s="564"/>
      <c r="AZ24" s="564"/>
      <c r="BC24" s="564"/>
      <c r="BF24" s="564"/>
    </row>
    <row r="25" spans="3:58" s="561" customFormat="1" ht="15" customHeight="1">
      <c r="C25" s="587"/>
      <c r="D25" s="587"/>
      <c r="E25" s="588" t="s">
        <v>46</v>
      </c>
      <c r="F25" s="595"/>
      <c r="G25" s="590"/>
      <c r="H25" s="596"/>
      <c r="I25" s="597"/>
      <c r="J25" s="592"/>
      <c r="K25" s="598">
        <v>0.01</v>
      </c>
      <c r="L25" s="658">
        <f>Bhn!$M$24</f>
        <v>40000</v>
      </c>
      <c r="M25" s="658">
        <f>K25*L25</f>
        <v>400</v>
      </c>
      <c r="N25" s="659"/>
      <c r="O25" s="576"/>
      <c r="P25" s="576"/>
      <c r="V25" s="564"/>
      <c r="X25" s="564"/>
      <c r="Z25" s="564"/>
      <c r="AA25" s="564"/>
      <c r="AB25" s="564"/>
      <c r="AD25" s="564"/>
      <c r="AE25" s="564"/>
      <c r="AQ25" s="564"/>
      <c r="AV25" s="564"/>
      <c r="AZ25" s="564"/>
      <c r="BC25" s="564"/>
      <c r="BF25" s="564"/>
    </row>
    <row r="26" spans="3:58" s="561" customFormat="1" ht="15" customHeight="1">
      <c r="C26" s="587"/>
      <c r="D26" s="587"/>
      <c r="E26" s="588"/>
      <c r="F26" s="595"/>
      <c r="G26" s="590"/>
      <c r="H26" s="596"/>
      <c r="I26" s="597"/>
      <c r="J26" s="592"/>
      <c r="K26" s="598"/>
      <c r="L26" s="658"/>
      <c r="M26" s="658"/>
      <c r="N26" s="659"/>
      <c r="O26" s="576"/>
      <c r="P26" s="576"/>
      <c r="V26" s="564"/>
      <c r="X26" s="564"/>
      <c r="Z26" s="564"/>
      <c r="AA26" s="564"/>
      <c r="AB26" s="564"/>
      <c r="AD26" s="564"/>
      <c r="AE26" s="564"/>
      <c r="AQ26" s="564"/>
      <c r="AV26" s="564"/>
      <c r="AZ26" s="564"/>
      <c r="BC26" s="564"/>
      <c r="BF26" s="564"/>
    </row>
    <row r="27" spans="3:58" s="578" customFormat="1" ht="15" customHeight="1">
      <c r="C27" s="747">
        <f>C22+1</f>
        <v>5</v>
      </c>
      <c r="D27" s="688"/>
      <c r="E27" s="687" t="s">
        <v>135</v>
      </c>
      <c r="F27" s="691"/>
      <c r="G27" s="689"/>
      <c r="H27" s="690"/>
      <c r="I27" s="654" t="s">
        <v>7</v>
      </c>
      <c r="J27" s="655" t="s">
        <v>109</v>
      </c>
      <c r="K27" s="661"/>
      <c r="L27" s="659"/>
      <c r="M27" s="657"/>
      <c r="N27" s="659">
        <f>SUM(M28:M30)</f>
        <v>93400</v>
      </c>
      <c r="O27" s="579"/>
      <c r="P27" s="579"/>
      <c r="X27" s="580"/>
      <c r="Z27" s="580"/>
      <c r="AA27" s="580"/>
      <c r="AB27" s="580"/>
      <c r="AD27" s="580"/>
      <c r="AE27" s="580"/>
      <c r="AQ27" s="580"/>
      <c r="AV27" s="580"/>
      <c r="AZ27" s="580"/>
      <c r="BC27" s="580"/>
      <c r="BF27" s="580"/>
    </row>
    <row r="28" spans="3:58" s="561" customFormat="1" ht="15" customHeight="1">
      <c r="C28" s="587"/>
      <c r="D28" s="686"/>
      <c r="E28" s="692" t="s">
        <v>58</v>
      </c>
      <c r="F28" s="595"/>
      <c r="G28" s="590"/>
      <c r="H28" s="596"/>
      <c r="I28" s="597"/>
      <c r="J28" s="592" t="s">
        <v>134</v>
      </c>
      <c r="K28" s="598">
        <v>1.2</v>
      </c>
      <c r="L28" s="658">
        <f>Bhn!M37</f>
        <v>70000</v>
      </c>
      <c r="M28" s="658">
        <f>K28*L28</f>
        <v>84000</v>
      </c>
      <c r="N28" s="659"/>
      <c r="O28" s="576"/>
      <c r="P28" s="576"/>
      <c r="X28" s="564"/>
      <c r="AA28" s="564"/>
      <c r="AB28" s="564"/>
      <c r="AD28" s="564"/>
      <c r="AE28" s="564"/>
      <c r="AQ28" s="564"/>
      <c r="AV28" s="564"/>
      <c r="AZ28" s="564"/>
      <c r="BC28" s="564"/>
      <c r="BF28" s="564"/>
    </row>
    <row r="29" spans="3:58" s="561" customFormat="1" ht="15" customHeight="1">
      <c r="C29" s="587"/>
      <c r="D29" s="686"/>
      <c r="E29" s="588" t="s">
        <v>43</v>
      </c>
      <c r="F29" s="595"/>
      <c r="G29" s="590"/>
      <c r="H29" s="596"/>
      <c r="I29" s="597"/>
      <c r="J29" s="592"/>
      <c r="K29" s="598">
        <v>0.3</v>
      </c>
      <c r="L29" s="658">
        <f>Bhn!$M$23</f>
        <v>30000</v>
      </c>
      <c r="M29" s="658">
        <f>K29*L29</f>
        <v>9000</v>
      </c>
      <c r="N29" s="659"/>
      <c r="O29" s="576"/>
      <c r="P29" s="576"/>
      <c r="X29" s="564"/>
      <c r="AA29" s="564"/>
      <c r="AB29" s="564"/>
      <c r="AD29" s="564"/>
      <c r="AE29" s="564"/>
      <c r="AQ29" s="564"/>
      <c r="AV29" s="564"/>
      <c r="AZ29" s="564"/>
      <c r="BC29" s="564"/>
      <c r="BF29" s="564"/>
    </row>
    <row r="30" spans="3:58" s="561" customFormat="1" ht="15" customHeight="1">
      <c r="C30" s="587"/>
      <c r="D30" s="686"/>
      <c r="E30" s="588" t="s">
        <v>46</v>
      </c>
      <c r="F30" s="595"/>
      <c r="G30" s="590"/>
      <c r="H30" s="596"/>
      <c r="I30" s="597"/>
      <c r="J30" s="592"/>
      <c r="K30" s="598">
        <v>0.01</v>
      </c>
      <c r="L30" s="658">
        <f>Bhn!$M$24</f>
        <v>40000</v>
      </c>
      <c r="M30" s="658">
        <f>K30*L30</f>
        <v>400</v>
      </c>
      <c r="N30" s="659"/>
      <c r="O30" s="576"/>
      <c r="P30" s="576"/>
      <c r="X30" s="564"/>
      <c r="AD30" s="564"/>
      <c r="AE30" s="564"/>
      <c r="AQ30" s="564"/>
      <c r="AV30" s="564"/>
      <c r="AZ30" s="564"/>
      <c r="BC30" s="564"/>
      <c r="BF30" s="564"/>
    </row>
    <row r="31" spans="3:58" s="561" customFormat="1" ht="15" customHeight="1">
      <c r="C31" s="587"/>
      <c r="D31" s="686"/>
      <c r="E31" s="588"/>
      <c r="F31" s="595"/>
      <c r="G31" s="590"/>
      <c r="H31" s="596"/>
      <c r="I31" s="597"/>
      <c r="J31" s="592"/>
      <c r="K31" s="598"/>
      <c r="L31" s="658"/>
      <c r="M31" s="658"/>
      <c r="N31" s="659"/>
      <c r="O31" s="576"/>
      <c r="P31" s="576"/>
      <c r="X31" s="564"/>
      <c r="AD31" s="564"/>
      <c r="AE31" s="564"/>
      <c r="AQ31" s="564"/>
      <c r="AV31" s="564"/>
      <c r="AZ31" s="564"/>
      <c r="BC31" s="564"/>
      <c r="BF31" s="564"/>
    </row>
    <row r="32" spans="3:58" s="578" customFormat="1" ht="15" customHeight="1">
      <c r="C32" s="694">
        <f>C27+1</f>
        <v>6</v>
      </c>
      <c r="D32" s="688"/>
      <c r="E32" s="687" t="s">
        <v>136</v>
      </c>
      <c r="F32" s="691"/>
      <c r="G32" s="689"/>
      <c r="H32" s="690"/>
      <c r="I32" s="654" t="s">
        <v>7</v>
      </c>
      <c r="J32" s="655" t="s">
        <v>109</v>
      </c>
      <c r="K32" s="660"/>
      <c r="L32" s="659"/>
      <c r="M32" s="657"/>
      <c r="N32" s="657">
        <f>SUM(M33:M35)</f>
        <v>86500</v>
      </c>
      <c r="O32" s="560"/>
      <c r="P32" s="560"/>
      <c r="X32" s="580"/>
      <c r="AD32" s="580"/>
      <c r="AE32" s="580"/>
      <c r="AQ32" s="580"/>
      <c r="AV32" s="580"/>
      <c r="AZ32" s="580"/>
      <c r="BC32" s="580"/>
      <c r="BF32" s="580"/>
    </row>
    <row r="33" spans="3:58" s="561" customFormat="1" ht="15" customHeight="1">
      <c r="C33" s="587"/>
      <c r="D33" s="686"/>
      <c r="E33" s="588" t="s">
        <v>59</v>
      </c>
      <c r="F33" s="595"/>
      <c r="G33" s="590"/>
      <c r="H33" s="596"/>
      <c r="I33" s="597"/>
      <c r="J33" s="593" t="s">
        <v>134</v>
      </c>
      <c r="K33" s="598">
        <v>1.2</v>
      </c>
      <c r="L33" s="658">
        <f>Bhn!M38</f>
        <v>65000</v>
      </c>
      <c r="M33" s="658">
        <f>K33*L33</f>
        <v>78000</v>
      </c>
      <c r="N33" s="659"/>
      <c r="O33" s="576"/>
      <c r="P33" s="576"/>
      <c r="X33" s="564"/>
      <c r="AD33" s="564"/>
      <c r="AE33" s="564"/>
      <c r="AQ33" s="564"/>
      <c r="AV33" s="564"/>
      <c r="AZ33" s="564"/>
      <c r="BC33" s="564"/>
      <c r="BF33" s="564"/>
    </row>
    <row r="34" spans="3:58" s="561" customFormat="1" ht="15" customHeight="1">
      <c r="C34" s="587"/>
      <c r="D34" s="686"/>
      <c r="E34" s="588" t="s">
        <v>43</v>
      </c>
      <c r="F34" s="595"/>
      <c r="G34" s="590"/>
      <c r="H34" s="596"/>
      <c r="I34" s="597"/>
      <c r="J34" s="592"/>
      <c r="K34" s="598">
        <v>0.25</v>
      </c>
      <c r="L34" s="658">
        <f>Bhn!$M$23</f>
        <v>30000</v>
      </c>
      <c r="M34" s="658">
        <f>K34*L34</f>
        <v>7500</v>
      </c>
      <c r="N34" s="659"/>
      <c r="O34" s="576"/>
      <c r="P34" s="576"/>
      <c r="X34" s="564"/>
      <c r="Z34" s="564"/>
      <c r="AA34" s="564"/>
      <c r="AB34" s="564"/>
      <c r="AD34" s="564"/>
      <c r="AE34" s="564"/>
      <c r="AQ34" s="564"/>
      <c r="AV34" s="564"/>
      <c r="AZ34" s="564"/>
      <c r="BC34" s="564"/>
      <c r="BF34" s="564"/>
    </row>
    <row r="35" spans="3:58" s="561" customFormat="1" ht="15" customHeight="1">
      <c r="C35" s="587"/>
      <c r="D35" s="686"/>
      <c r="E35" s="588" t="s">
        <v>46</v>
      </c>
      <c r="F35" s="595"/>
      <c r="G35" s="590"/>
      <c r="H35" s="596"/>
      <c r="I35" s="597"/>
      <c r="J35" s="592"/>
      <c r="K35" s="598">
        <v>0.025</v>
      </c>
      <c r="L35" s="658">
        <f>Bhn!$M$24</f>
        <v>40000</v>
      </c>
      <c r="M35" s="658">
        <f>K35*L35</f>
        <v>1000</v>
      </c>
      <c r="N35" s="659"/>
      <c r="O35" s="576"/>
      <c r="P35" s="576"/>
      <c r="X35" s="564"/>
      <c r="Z35" s="564"/>
      <c r="AA35" s="564"/>
      <c r="AB35" s="564"/>
      <c r="AD35" s="564"/>
      <c r="AE35" s="564"/>
      <c r="AQ35" s="564"/>
      <c r="AV35" s="564"/>
      <c r="AZ35" s="564"/>
      <c r="BC35" s="564"/>
      <c r="BF35" s="564"/>
    </row>
    <row r="36" spans="3:58" s="561" customFormat="1" ht="15" customHeight="1">
      <c r="C36" s="587"/>
      <c r="D36" s="686"/>
      <c r="E36" s="588"/>
      <c r="F36" s="595"/>
      <c r="G36" s="590"/>
      <c r="H36" s="596"/>
      <c r="I36" s="597"/>
      <c r="J36" s="592"/>
      <c r="K36" s="598"/>
      <c r="L36" s="658"/>
      <c r="M36" s="658"/>
      <c r="N36" s="659"/>
      <c r="O36" s="576"/>
      <c r="P36" s="576"/>
      <c r="X36" s="564"/>
      <c r="Z36" s="564"/>
      <c r="AA36" s="564"/>
      <c r="AB36" s="564"/>
      <c r="AD36" s="564"/>
      <c r="AE36" s="564"/>
      <c r="AQ36" s="564"/>
      <c r="AV36" s="564"/>
      <c r="AZ36" s="564"/>
      <c r="BC36" s="564"/>
      <c r="BF36" s="564"/>
    </row>
    <row r="37" spans="3:31" s="578" customFormat="1" ht="15" customHeight="1">
      <c r="C37" s="694">
        <f>+C32+1</f>
        <v>7</v>
      </c>
      <c r="D37" s="688"/>
      <c r="E37" s="687" t="s">
        <v>213</v>
      </c>
      <c r="F37" s="691"/>
      <c r="G37" s="689"/>
      <c r="H37" s="690"/>
      <c r="I37" s="654" t="s">
        <v>7</v>
      </c>
      <c r="J37" s="655" t="s">
        <v>109</v>
      </c>
      <c r="K37" s="661"/>
      <c r="L37" s="659"/>
      <c r="M37" s="657"/>
      <c r="N37" s="659">
        <f>SUM(M38:M44)</f>
        <v>387900</v>
      </c>
      <c r="O37" s="579"/>
      <c r="P37" s="579"/>
      <c r="X37" s="580"/>
      <c r="Z37" s="580"/>
      <c r="AA37" s="580"/>
      <c r="AB37" s="580"/>
      <c r="AD37" s="580"/>
      <c r="AE37" s="580"/>
    </row>
    <row r="38" spans="3:31" s="561" customFormat="1" ht="15" customHeight="1">
      <c r="C38" s="587"/>
      <c r="D38" s="686"/>
      <c r="E38" s="588" t="s">
        <v>63</v>
      </c>
      <c r="F38" s="595"/>
      <c r="G38" s="590"/>
      <c r="H38" s="596"/>
      <c r="I38" s="597"/>
      <c r="J38" s="593" t="s">
        <v>134</v>
      </c>
      <c r="K38" s="664">
        <v>1.1</v>
      </c>
      <c r="L38" s="658">
        <f>Bhn!$M$42</f>
        <v>115000</v>
      </c>
      <c r="M38" s="658">
        <f aca="true" t="shared" si="0" ref="M38:M90">K38*L38</f>
        <v>126500.00000000001</v>
      </c>
      <c r="N38" s="659"/>
      <c r="O38" s="576"/>
      <c r="P38" s="576"/>
      <c r="X38" s="564"/>
      <c r="Z38" s="564"/>
      <c r="AA38" s="564"/>
      <c r="AB38" s="564"/>
      <c r="AD38" s="564"/>
      <c r="AE38" s="564"/>
    </row>
    <row r="39" spans="3:31" s="561" customFormat="1" ht="15" customHeight="1">
      <c r="C39" s="587"/>
      <c r="D39" s="686"/>
      <c r="E39" s="588" t="s">
        <v>66</v>
      </c>
      <c r="F39" s="595"/>
      <c r="G39" s="590"/>
      <c r="H39" s="596"/>
      <c r="I39" s="597"/>
      <c r="J39" s="593" t="s">
        <v>137</v>
      </c>
      <c r="K39" s="664">
        <v>3.4</v>
      </c>
      <c r="L39" s="658">
        <f>Bhn!$M$44</f>
        <v>39000</v>
      </c>
      <c r="M39" s="658">
        <f t="shared" si="0"/>
        <v>132600</v>
      </c>
      <c r="N39" s="659"/>
      <c r="O39" s="576"/>
      <c r="P39" s="576"/>
      <c r="X39" s="564"/>
      <c r="Z39" s="564"/>
      <c r="AA39" s="564"/>
      <c r="AB39" s="564"/>
      <c r="AD39" s="564"/>
      <c r="AE39" s="564"/>
    </row>
    <row r="40" spans="3:31" s="561" customFormat="1" ht="15" customHeight="1">
      <c r="C40" s="587"/>
      <c r="D40" s="686"/>
      <c r="E40" s="588" t="s">
        <v>60</v>
      </c>
      <c r="F40" s="595"/>
      <c r="G40" s="590" t="s">
        <v>469</v>
      </c>
      <c r="H40" s="596"/>
      <c r="I40" s="597"/>
      <c r="J40" s="593" t="s">
        <v>134</v>
      </c>
      <c r="K40" s="664">
        <v>0.544</v>
      </c>
      <c r="L40" s="658">
        <f>Bhn!$M$39</f>
        <v>100000</v>
      </c>
      <c r="M40" s="658">
        <f t="shared" si="0"/>
        <v>54400.00000000001</v>
      </c>
      <c r="N40" s="659"/>
      <c r="O40" s="576"/>
      <c r="P40" s="576"/>
      <c r="X40" s="564"/>
      <c r="Z40" s="564"/>
      <c r="AA40" s="564"/>
      <c r="AB40" s="564"/>
      <c r="AD40" s="564"/>
      <c r="AE40" s="564"/>
    </row>
    <row r="41" spans="3:31" s="561" customFormat="1" ht="15" customHeight="1">
      <c r="C41" s="587"/>
      <c r="D41" s="686"/>
      <c r="E41" s="588" t="s">
        <v>47</v>
      </c>
      <c r="F41" s="595"/>
      <c r="G41" s="590"/>
      <c r="H41" s="596"/>
      <c r="I41" s="597"/>
      <c r="J41" s="592"/>
      <c r="K41" s="664">
        <v>0.6</v>
      </c>
      <c r="L41" s="658">
        <f>Bhn!$M$25</f>
        <v>40000</v>
      </c>
      <c r="M41" s="658">
        <f t="shared" si="0"/>
        <v>24000</v>
      </c>
      <c r="N41" s="657"/>
      <c r="O41" s="576"/>
      <c r="P41" s="576"/>
      <c r="X41" s="564"/>
      <c r="Z41" s="564"/>
      <c r="AA41" s="564"/>
      <c r="AB41" s="564"/>
      <c r="AD41" s="564"/>
      <c r="AE41" s="564"/>
    </row>
    <row r="42" spans="3:31" s="561" customFormat="1" ht="15" customHeight="1">
      <c r="C42" s="587"/>
      <c r="D42" s="686"/>
      <c r="E42" s="588" t="s">
        <v>48</v>
      </c>
      <c r="F42" s="595"/>
      <c r="G42" s="590"/>
      <c r="H42" s="596"/>
      <c r="I42" s="597"/>
      <c r="J42" s="592"/>
      <c r="K42" s="664">
        <v>0.06</v>
      </c>
      <c r="L42" s="658">
        <f>Bhn!$M$26</f>
        <v>40000</v>
      </c>
      <c r="M42" s="658">
        <f t="shared" si="0"/>
        <v>2400</v>
      </c>
      <c r="N42" s="657"/>
      <c r="O42" s="576"/>
      <c r="P42" s="576"/>
      <c r="X42" s="564"/>
      <c r="Z42" s="564"/>
      <c r="AA42" s="564"/>
      <c r="AB42" s="564"/>
      <c r="AD42" s="564"/>
      <c r="AE42" s="564"/>
    </row>
    <row r="43" spans="3:31" s="561" customFormat="1" ht="15" customHeight="1">
      <c r="C43" s="587"/>
      <c r="D43" s="686"/>
      <c r="E43" s="588" t="s">
        <v>43</v>
      </c>
      <c r="F43" s="595"/>
      <c r="G43" s="590"/>
      <c r="H43" s="596"/>
      <c r="I43" s="597"/>
      <c r="J43" s="592"/>
      <c r="K43" s="664">
        <v>1.5</v>
      </c>
      <c r="L43" s="658">
        <f>Bhn!$M$23</f>
        <v>30000</v>
      </c>
      <c r="M43" s="658">
        <f t="shared" si="0"/>
        <v>45000</v>
      </c>
      <c r="N43" s="657"/>
      <c r="O43" s="576"/>
      <c r="P43" s="576"/>
      <c r="X43" s="564"/>
      <c r="Z43" s="564"/>
      <c r="AA43" s="564"/>
      <c r="AB43" s="564"/>
      <c r="AD43" s="564"/>
      <c r="AE43" s="564"/>
    </row>
    <row r="44" spans="3:31" s="561" customFormat="1" ht="15" customHeight="1">
      <c r="C44" s="587"/>
      <c r="D44" s="686"/>
      <c r="E44" s="588" t="s">
        <v>46</v>
      </c>
      <c r="F44" s="595"/>
      <c r="G44" s="590"/>
      <c r="H44" s="596"/>
      <c r="I44" s="597"/>
      <c r="J44" s="592"/>
      <c r="K44" s="664">
        <v>0.075</v>
      </c>
      <c r="L44" s="658">
        <f>Bhn!$M$24</f>
        <v>40000</v>
      </c>
      <c r="M44" s="658">
        <f t="shared" si="0"/>
        <v>3000</v>
      </c>
      <c r="N44" s="659"/>
      <c r="O44" s="576"/>
      <c r="P44" s="576"/>
      <c r="X44" s="564"/>
      <c r="Z44" s="564"/>
      <c r="AA44" s="564"/>
      <c r="AB44" s="564"/>
      <c r="AD44" s="564"/>
      <c r="AE44" s="564"/>
    </row>
    <row r="45" spans="3:31" s="561" customFormat="1" ht="15" customHeight="1">
      <c r="C45" s="587"/>
      <c r="D45" s="686"/>
      <c r="E45" s="588"/>
      <c r="F45" s="595"/>
      <c r="G45" s="590"/>
      <c r="H45" s="596"/>
      <c r="I45" s="597"/>
      <c r="J45" s="592"/>
      <c r="K45" s="664"/>
      <c r="L45" s="658"/>
      <c r="M45" s="658"/>
      <c r="N45" s="659"/>
      <c r="O45" s="576"/>
      <c r="P45" s="576"/>
      <c r="X45" s="564"/>
      <c r="Z45" s="564"/>
      <c r="AA45" s="564"/>
      <c r="AB45" s="564"/>
      <c r="AD45" s="564"/>
      <c r="AE45" s="564"/>
    </row>
    <row r="46" spans="3:31" s="578" customFormat="1" ht="15" customHeight="1">
      <c r="C46" s="694">
        <f>C37+1</f>
        <v>8</v>
      </c>
      <c r="D46" s="688"/>
      <c r="E46" s="687" t="s">
        <v>138</v>
      </c>
      <c r="F46" s="691"/>
      <c r="G46" s="689"/>
      <c r="H46" s="690"/>
      <c r="I46" s="654" t="s">
        <v>7</v>
      </c>
      <c r="J46" s="655" t="s">
        <v>109</v>
      </c>
      <c r="K46" s="660"/>
      <c r="L46" s="659"/>
      <c r="M46" s="659"/>
      <c r="N46" s="659">
        <f>SUM(M47:M52)</f>
        <v>201120</v>
      </c>
      <c r="O46" s="579"/>
      <c r="P46" s="579"/>
      <c r="X46" s="580"/>
      <c r="Z46" s="580"/>
      <c r="AA46" s="580"/>
      <c r="AD46" s="580"/>
      <c r="AE46" s="580"/>
    </row>
    <row r="47" spans="3:31" s="561" customFormat="1" ht="15" customHeight="1">
      <c r="C47" s="587"/>
      <c r="D47" s="686"/>
      <c r="E47" s="588" t="s">
        <v>63</v>
      </c>
      <c r="F47" s="595"/>
      <c r="G47" s="590"/>
      <c r="H47" s="596"/>
      <c r="I47" s="651"/>
      <c r="J47" s="593" t="s">
        <v>134</v>
      </c>
      <c r="K47" s="598">
        <v>1.2</v>
      </c>
      <c r="L47" s="658">
        <f>Bhn!$M$42</f>
        <v>115000</v>
      </c>
      <c r="M47" s="658">
        <f t="shared" si="0"/>
        <v>138000</v>
      </c>
      <c r="N47" s="659"/>
      <c r="O47" s="576"/>
      <c r="P47" s="576"/>
      <c r="X47" s="564"/>
      <c r="Z47" s="564"/>
      <c r="AA47" s="564"/>
      <c r="AD47" s="564"/>
      <c r="AE47" s="564"/>
    </row>
    <row r="48" spans="3:31" s="561" customFormat="1" ht="15" customHeight="1">
      <c r="C48" s="587"/>
      <c r="D48" s="686"/>
      <c r="E48" s="692" t="s">
        <v>58</v>
      </c>
      <c r="F48" s="595"/>
      <c r="G48" s="590"/>
      <c r="H48" s="596"/>
      <c r="I48" s="651"/>
      <c r="J48" s="593" t="s">
        <v>134</v>
      </c>
      <c r="K48" s="598">
        <v>0.3</v>
      </c>
      <c r="L48" s="658">
        <f>Bhn!M37</f>
        <v>70000</v>
      </c>
      <c r="M48" s="658">
        <f t="shared" si="0"/>
        <v>21000</v>
      </c>
      <c r="N48" s="659"/>
      <c r="O48" s="576"/>
      <c r="P48" s="576"/>
      <c r="X48" s="564"/>
      <c r="Z48" s="564"/>
      <c r="AA48" s="564"/>
      <c r="AD48" s="564"/>
      <c r="AE48" s="564"/>
    </row>
    <row r="49" spans="3:31" s="561" customFormat="1" ht="15" customHeight="1">
      <c r="C49" s="587"/>
      <c r="D49" s="686"/>
      <c r="E49" s="588" t="s">
        <v>43</v>
      </c>
      <c r="F49" s="595"/>
      <c r="G49" s="590"/>
      <c r="H49" s="596"/>
      <c r="I49" s="651"/>
      <c r="J49" s="651"/>
      <c r="K49" s="598">
        <v>0.78</v>
      </c>
      <c r="L49" s="658">
        <f>Bhn!$M$23</f>
        <v>30000</v>
      </c>
      <c r="M49" s="658">
        <f t="shared" si="0"/>
        <v>23400</v>
      </c>
      <c r="N49" s="659"/>
      <c r="O49" s="576"/>
      <c r="P49" s="576"/>
      <c r="X49" s="564"/>
      <c r="Z49" s="564"/>
      <c r="AA49" s="564"/>
      <c r="AD49" s="564"/>
      <c r="AE49" s="564"/>
    </row>
    <row r="50" spans="3:31" s="561" customFormat="1" ht="15" customHeight="1">
      <c r="C50" s="587"/>
      <c r="D50" s="686"/>
      <c r="E50" s="588" t="s">
        <v>47</v>
      </c>
      <c r="F50" s="595"/>
      <c r="G50" s="590"/>
      <c r="H50" s="596"/>
      <c r="I50" s="597"/>
      <c r="J50" s="592"/>
      <c r="K50" s="664">
        <v>0.39</v>
      </c>
      <c r="L50" s="658">
        <f>Bhn!$M$25</f>
        <v>40000</v>
      </c>
      <c r="M50" s="658">
        <f t="shared" si="0"/>
        <v>15600</v>
      </c>
      <c r="N50" s="659"/>
      <c r="O50" s="576"/>
      <c r="P50" s="576"/>
      <c r="X50" s="564"/>
      <c r="Z50" s="564"/>
      <c r="AA50" s="564"/>
      <c r="AD50" s="564"/>
      <c r="AE50" s="564"/>
    </row>
    <row r="51" spans="3:31" s="561" customFormat="1" ht="15" customHeight="1">
      <c r="C51" s="587"/>
      <c r="D51" s="686"/>
      <c r="E51" s="588" t="s">
        <v>48</v>
      </c>
      <c r="F51" s="595"/>
      <c r="G51" s="590"/>
      <c r="H51" s="596"/>
      <c r="I51" s="597"/>
      <c r="J51" s="592"/>
      <c r="K51" s="664">
        <v>0.039</v>
      </c>
      <c r="L51" s="658">
        <f>Bhn!$M$26</f>
        <v>40000</v>
      </c>
      <c r="M51" s="658">
        <f t="shared" si="0"/>
        <v>1560</v>
      </c>
      <c r="N51" s="659"/>
      <c r="O51" s="576"/>
      <c r="P51" s="576"/>
      <c r="X51" s="564"/>
      <c r="Z51" s="564"/>
      <c r="AA51" s="564"/>
      <c r="AD51" s="564"/>
      <c r="AE51" s="564"/>
    </row>
    <row r="52" spans="3:31" s="561" customFormat="1" ht="15" customHeight="1">
      <c r="C52" s="587"/>
      <c r="D52" s="686"/>
      <c r="E52" s="588" t="s">
        <v>46</v>
      </c>
      <c r="F52" s="595"/>
      <c r="G52" s="590"/>
      <c r="H52" s="596"/>
      <c r="I52" s="651"/>
      <c r="J52" s="651"/>
      <c r="K52" s="598">
        <v>0.039</v>
      </c>
      <c r="L52" s="658">
        <f>Bhn!$M$24</f>
        <v>40000</v>
      </c>
      <c r="M52" s="658">
        <f t="shared" si="0"/>
        <v>1560</v>
      </c>
      <c r="N52" s="659"/>
      <c r="O52" s="576"/>
      <c r="P52" s="576"/>
      <c r="X52" s="564"/>
      <c r="Z52" s="564"/>
      <c r="AA52" s="564"/>
      <c r="AD52" s="564"/>
      <c r="AE52" s="564"/>
    </row>
    <row r="53" spans="3:31" s="561" customFormat="1" ht="15" customHeight="1">
      <c r="C53" s="587"/>
      <c r="D53" s="686"/>
      <c r="E53" s="588"/>
      <c r="F53" s="595"/>
      <c r="G53" s="590"/>
      <c r="H53" s="596"/>
      <c r="I53" s="651"/>
      <c r="J53" s="651"/>
      <c r="K53" s="598"/>
      <c r="L53" s="658"/>
      <c r="M53" s="658"/>
      <c r="N53" s="659"/>
      <c r="O53" s="576"/>
      <c r="P53" s="576"/>
      <c r="X53" s="564"/>
      <c r="Z53" s="564"/>
      <c r="AA53" s="564"/>
      <c r="AD53" s="564"/>
      <c r="AE53" s="564"/>
    </row>
    <row r="54" spans="3:31" s="578" customFormat="1" ht="15" customHeight="1">
      <c r="C54" s="694">
        <f>+C46+1</f>
        <v>9</v>
      </c>
      <c r="D54" s="688"/>
      <c r="E54" s="687" t="s">
        <v>141</v>
      </c>
      <c r="F54" s="691"/>
      <c r="G54" s="689"/>
      <c r="H54" s="690"/>
      <c r="I54" s="654" t="s">
        <v>7</v>
      </c>
      <c r="J54" s="655" t="s">
        <v>116</v>
      </c>
      <c r="K54" s="660"/>
      <c r="L54" s="659"/>
      <c r="M54" s="659"/>
      <c r="N54" s="657">
        <f>SUM(M55:M61)</f>
        <v>53610.75</v>
      </c>
      <c r="O54" s="560"/>
      <c r="P54" s="560"/>
      <c r="X54" s="580"/>
      <c r="Z54" s="580"/>
      <c r="AA54" s="580"/>
      <c r="AD54" s="580"/>
      <c r="AE54" s="580"/>
    </row>
    <row r="55" spans="3:31" s="561" customFormat="1" ht="15" customHeight="1">
      <c r="C55" s="587"/>
      <c r="D55" s="686"/>
      <c r="E55" s="588" t="s">
        <v>64</v>
      </c>
      <c r="F55" s="595"/>
      <c r="G55" s="590"/>
      <c r="H55" s="596"/>
      <c r="I55" s="592"/>
      <c r="J55" s="593" t="s">
        <v>139</v>
      </c>
      <c r="K55" s="665">
        <v>70</v>
      </c>
      <c r="L55" s="658">
        <f>Bhn!$M$43</f>
        <v>300</v>
      </c>
      <c r="M55" s="658">
        <f t="shared" si="0"/>
        <v>21000</v>
      </c>
      <c r="N55" s="657"/>
      <c r="O55" s="559"/>
      <c r="P55" s="559"/>
      <c r="X55" s="564"/>
      <c r="Z55" s="564"/>
      <c r="AA55" s="564"/>
      <c r="AD55" s="564"/>
      <c r="AE55" s="564"/>
    </row>
    <row r="56" spans="3:31" s="561" customFormat="1" ht="15" customHeight="1">
      <c r="C56" s="587"/>
      <c r="D56" s="686"/>
      <c r="E56" s="588" t="s">
        <v>66</v>
      </c>
      <c r="F56" s="595"/>
      <c r="G56" s="590"/>
      <c r="H56" s="596"/>
      <c r="I56" s="592"/>
      <c r="J56" s="593" t="s">
        <v>140</v>
      </c>
      <c r="K56" s="598">
        <f>14.37/40</f>
        <v>0.35924999999999996</v>
      </c>
      <c r="L56" s="658">
        <f>Bhn!$M$44</f>
        <v>39000</v>
      </c>
      <c r="M56" s="658">
        <f t="shared" si="0"/>
        <v>14010.749999999998</v>
      </c>
      <c r="N56" s="657"/>
      <c r="O56" s="559"/>
      <c r="P56" s="559"/>
      <c r="X56" s="564"/>
      <c r="Z56" s="564"/>
      <c r="AA56" s="564"/>
      <c r="AD56" s="564"/>
      <c r="AE56" s="564"/>
    </row>
    <row r="57" spans="3:31" s="561" customFormat="1" ht="15" customHeight="1">
      <c r="C57" s="587"/>
      <c r="D57" s="686"/>
      <c r="E57" s="588" t="s">
        <v>60</v>
      </c>
      <c r="F57" s="595"/>
      <c r="G57" s="590" t="s">
        <v>469</v>
      </c>
      <c r="H57" s="596"/>
      <c r="I57" s="592"/>
      <c r="J57" s="593" t="s">
        <v>134</v>
      </c>
      <c r="K57" s="598">
        <v>0.04</v>
      </c>
      <c r="L57" s="658">
        <f>Bhn!$M$39</f>
        <v>100000</v>
      </c>
      <c r="M57" s="658">
        <f t="shared" si="0"/>
        <v>4000</v>
      </c>
      <c r="N57" s="659"/>
      <c r="O57" s="576"/>
      <c r="P57" s="576"/>
      <c r="X57" s="564"/>
      <c r="Z57" s="564"/>
      <c r="AA57" s="564"/>
      <c r="AB57" s="564"/>
      <c r="AD57" s="564"/>
      <c r="AE57" s="564"/>
    </row>
    <row r="58" spans="3:31" s="561" customFormat="1" ht="15" customHeight="1">
      <c r="C58" s="587"/>
      <c r="D58" s="686"/>
      <c r="E58" s="588" t="s">
        <v>47</v>
      </c>
      <c r="F58" s="595"/>
      <c r="G58" s="590"/>
      <c r="H58" s="596"/>
      <c r="I58" s="592"/>
      <c r="J58" s="651"/>
      <c r="K58" s="598">
        <v>0.1</v>
      </c>
      <c r="L58" s="658">
        <f>Bhn!$M$25</f>
        <v>40000</v>
      </c>
      <c r="M58" s="658">
        <f t="shared" si="0"/>
        <v>4000</v>
      </c>
      <c r="N58" s="659"/>
      <c r="O58" s="576"/>
      <c r="P58" s="576"/>
      <c r="AD58" s="564"/>
      <c r="AE58" s="564"/>
    </row>
    <row r="59" spans="3:58" s="561" customFormat="1" ht="15" customHeight="1">
      <c r="C59" s="587"/>
      <c r="D59" s="686"/>
      <c r="E59" s="588" t="s">
        <v>48</v>
      </c>
      <c r="F59" s="595"/>
      <c r="G59" s="590"/>
      <c r="H59" s="596"/>
      <c r="I59" s="592"/>
      <c r="J59" s="651"/>
      <c r="K59" s="598">
        <v>0.01</v>
      </c>
      <c r="L59" s="658">
        <f>Bhn!$M$26</f>
        <v>40000</v>
      </c>
      <c r="M59" s="658">
        <f t="shared" si="0"/>
        <v>400</v>
      </c>
      <c r="N59" s="657"/>
      <c r="O59" s="559"/>
      <c r="P59" s="559"/>
      <c r="X59" s="564"/>
      <c r="AA59" s="564"/>
      <c r="AD59" s="564"/>
      <c r="AE59" s="564"/>
      <c r="AF59" s="564"/>
      <c r="BC59" s="564"/>
      <c r="BF59" s="564"/>
    </row>
    <row r="60" spans="3:58" s="561" customFormat="1" ht="15" customHeight="1">
      <c r="C60" s="587"/>
      <c r="D60" s="686"/>
      <c r="E60" s="588" t="s">
        <v>43</v>
      </c>
      <c r="F60" s="595"/>
      <c r="G60" s="590"/>
      <c r="H60" s="596"/>
      <c r="I60" s="592"/>
      <c r="J60" s="651"/>
      <c r="K60" s="598">
        <v>0.32</v>
      </c>
      <c r="L60" s="658">
        <f>Bhn!$M$23</f>
        <v>30000</v>
      </c>
      <c r="M60" s="658">
        <f t="shared" si="0"/>
        <v>9600</v>
      </c>
      <c r="N60" s="657"/>
      <c r="O60" s="559"/>
      <c r="P60" s="559"/>
      <c r="X60" s="564"/>
      <c r="Z60" s="564"/>
      <c r="AA60" s="564"/>
      <c r="AD60" s="564"/>
      <c r="AE60" s="564"/>
      <c r="AF60" s="564"/>
      <c r="BC60" s="564"/>
      <c r="BF60" s="564"/>
    </row>
    <row r="61" spans="3:58" s="561" customFormat="1" ht="15" customHeight="1">
      <c r="C61" s="587"/>
      <c r="D61" s="686"/>
      <c r="E61" s="588" t="s">
        <v>46</v>
      </c>
      <c r="F61" s="595"/>
      <c r="G61" s="590"/>
      <c r="H61" s="596"/>
      <c r="I61" s="592"/>
      <c r="J61" s="651"/>
      <c r="K61" s="598">
        <v>0.015</v>
      </c>
      <c r="L61" s="658">
        <f>Bhn!$M$24</f>
        <v>40000</v>
      </c>
      <c r="M61" s="658">
        <f t="shared" si="0"/>
        <v>600</v>
      </c>
      <c r="N61" s="659"/>
      <c r="O61" s="576"/>
      <c r="P61" s="576"/>
      <c r="X61" s="564"/>
      <c r="Z61" s="564"/>
      <c r="AA61" s="564"/>
      <c r="AD61" s="564"/>
      <c r="AE61" s="564"/>
      <c r="AV61" s="564"/>
      <c r="BC61" s="564"/>
      <c r="BF61" s="564"/>
    </row>
    <row r="62" spans="3:58" s="561" customFormat="1" ht="15" customHeight="1">
      <c r="C62" s="587"/>
      <c r="D62" s="686"/>
      <c r="E62" s="588"/>
      <c r="F62" s="595"/>
      <c r="G62" s="590"/>
      <c r="H62" s="596"/>
      <c r="I62" s="592"/>
      <c r="J62" s="651"/>
      <c r="K62" s="598"/>
      <c r="L62" s="658"/>
      <c r="M62" s="658"/>
      <c r="N62" s="659"/>
      <c r="O62" s="576"/>
      <c r="P62" s="576"/>
      <c r="X62" s="564"/>
      <c r="Z62" s="564"/>
      <c r="AA62" s="564"/>
      <c r="AD62" s="564"/>
      <c r="AE62" s="564"/>
      <c r="AV62" s="564"/>
      <c r="BC62" s="564"/>
      <c r="BF62" s="564"/>
    </row>
    <row r="63" spans="3:31" s="578" customFormat="1" ht="15" customHeight="1">
      <c r="C63" s="694">
        <f>+C54+1</f>
        <v>10</v>
      </c>
      <c r="D63" s="688"/>
      <c r="E63" s="687" t="s">
        <v>5</v>
      </c>
      <c r="F63" s="691"/>
      <c r="G63" s="689"/>
      <c r="H63" s="690"/>
      <c r="I63" s="654" t="s">
        <v>7</v>
      </c>
      <c r="J63" s="655" t="s">
        <v>116</v>
      </c>
      <c r="K63" s="660"/>
      <c r="L63" s="659"/>
      <c r="M63" s="659"/>
      <c r="N63" s="657">
        <f>SUM(M64:M70)</f>
        <v>49538</v>
      </c>
      <c r="O63" s="579"/>
      <c r="P63" s="579"/>
      <c r="X63" s="580"/>
      <c r="Z63" s="580"/>
      <c r="AA63" s="580"/>
      <c r="AD63" s="580"/>
      <c r="AE63" s="580"/>
    </row>
    <row r="64" spans="3:31" s="561" customFormat="1" ht="15" customHeight="1">
      <c r="C64" s="587"/>
      <c r="D64" s="686"/>
      <c r="E64" s="588" t="s">
        <v>64</v>
      </c>
      <c r="F64" s="595"/>
      <c r="G64" s="590"/>
      <c r="H64" s="596"/>
      <c r="I64" s="592"/>
      <c r="J64" s="593" t="s">
        <v>139</v>
      </c>
      <c r="K64" s="665">
        <v>70</v>
      </c>
      <c r="L64" s="658">
        <f>Bhn!$M$43</f>
        <v>300</v>
      </c>
      <c r="M64" s="658">
        <f t="shared" si="0"/>
        <v>21000</v>
      </c>
      <c r="N64" s="657"/>
      <c r="O64" s="576"/>
      <c r="P64" s="576"/>
      <c r="X64" s="564"/>
      <c r="Z64" s="564"/>
      <c r="AA64" s="564"/>
      <c r="AD64" s="564"/>
      <c r="AE64" s="564"/>
    </row>
    <row r="65" spans="3:31" s="561" customFormat="1" ht="15" customHeight="1">
      <c r="C65" s="587"/>
      <c r="D65" s="686"/>
      <c r="E65" s="588" t="s">
        <v>66</v>
      </c>
      <c r="F65" s="595"/>
      <c r="G65" s="590"/>
      <c r="H65" s="596"/>
      <c r="I65" s="592"/>
      <c r="J65" s="593" t="s">
        <v>140</v>
      </c>
      <c r="K65" s="598">
        <f>9.68/40</f>
        <v>0.242</v>
      </c>
      <c r="L65" s="658">
        <f>Bhn!$M$44</f>
        <v>39000</v>
      </c>
      <c r="M65" s="658">
        <f t="shared" si="0"/>
        <v>9438</v>
      </c>
      <c r="N65" s="657"/>
      <c r="O65" s="576"/>
      <c r="P65" s="576"/>
      <c r="X65" s="564"/>
      <c r="Z65" s="564"/>
      <c r="AA65" s="564"/>
      <c r="AD65" s="564"/>
      <c r="AE65" s="564"/>
    </row>
    <row r="66" spans="3:31" s="561" customFormat="1" ht="15" customHeight="1">
      <c r="C66" s="587"/>
      <c r="D66" s="686"/>
      <c r="E66" s="588" t="s">
        <v>60</v>
      </c>
      <c r="F66" s="595"/>
      <c r="G66" s="590" t="s">
        <v>469</v>
      </c>
      <c r="H66" s="596"/>
      <c r="I66" s="592"/>
      <c r="J66" s="651"/>
      <c r="K66" s="598">
        <v>0.045</v>
      </c>
      <c r="L66" s="658">
        <f>Bhn!$M$39</f>
        <v>100000</v>
      </c>
      <c r="M66" s="658">
        <f t="shared" si="0"/>
        <v>4500</v>
      </c>
      <c r="N66" s="659"/>
      <c r="O66" s="576"/>
      <c r="P66" s="576"/>
      <c r="X66" s="564"/>
      <c r="Z66" s="564"/>
      <c r="AA66" s="564"/>
      <c r="AD66" s="564"/>
      <c r="AE66" s="564"/>
    </row>
    <row r="67" spans="3:31" s="561" customFormat="1" ht="15" customHeight="1">
      <c r="C67" s="587"/>
      <c r="D67" s="686"/>
      <c r="E67" s="588" t="s">
        <v>47</v>
      </c>
      <c r="F67" s="595"/>
      <c r="G67" s="590"/>
      <c r="H67" s="596"/>
      <c r="I67" s="592"/>
      <c r="J67" s="651"/>
      <c r="K67" s="598">
        <v>0.1</v>
      </c>
      <c r="L67" s="658">
        <f>Bhn!$M$25</f>
        <v>40000</v>
      </c>
      <c r="M67" s="658">
        <f t="shared" si="0"/>
        <v>4000</v>
      </c>
      <c r="N67" s="657"/>
      <c r="O67" s="576"/>
      <c r="P67" s="576"/>
      <c r="X67" s="564"/>
      <c r="Z67" s="564"/>
      <c r="AA67" s="564"/>
      <c r="AD67" s="564"/>
      <c r="AE67" s="564"/>
    </row>
    <row r="68" spans="3:31" s="561" customFormat="1" ht="15" customHeight="1">
      <c r="C68" s="587"/>
      <c r="D68" s="686"/>
      <c r="E68" s="588" t="s">
        <v>48</v>
      </c>
      <c r="F68" s="595"/>
      <c r="G68" s="590"/>
      <c r="H68" s="596"/>
      <c r="I68" s="592"/>
      <c r="J68" s="651"/>
      <c r="K68" s="598">
        <v>0.01</v>
      </c>
      <c r="L68" s="658">
        <f>Bhn!$M$26</f>
        <v>40000</v>
      </c>
      <c r="M68" s="658">
        <f t="shared" si="0"/>
        <v>400</v>
      </c>
      <c r="N68" s="657"/>
      <c r="O68" s="576"/>
      <c r="P68" s="576"/>
      <c r="X68" s="564"/>
      <c r="Z68" s="564"/>
      <c r="AA68" s="564"/>
      <c r="AD68" s="564"/>
      <c r="AE68" s="564"/>
    </row>
    <row r="69" spans="3:31" s="561" customFormat="1" ht="15" customHeight="1">
      <c r="C69" s="587"/>
      <c r="D69" s="686"/>
      <c r="E69" s="588" t="s">
        <v>43</v>
      </c>
      <c r="F69" s="595"/>
      <c r="G69" s="590"/>
      <c r="H69" s="596"/>
      <c r="I69" s="592"/>
      <c r="J69" s="651"/>
      <c r="K69" s="598">
        <v>0.32</v>
      </c>
      <c r="L69" s="658">
        <f>Bhn!$M$23</f>
        <v>30000</v>
      </c>
      <c r="M69" s="658">
        <f t="shared" si="0"/>
        <v>9600</v>
      </c>
      <c r="N69" s="657"/>
      <c r="O69" s="576"/>
      <c r="P69" s="576"/>
      <c r="X69" s="564"/>
      <c r="Z69" s="564"/>
      <c r="AA69" s="564"/>
      <c r="AD69" s="564"/>
      <c r="AE69" s="564"/>
    </row>
    <row r="70" spans="3:31" s="561" customFormat="1" ht="15" customHeight="1">
      <c r="C70" s="587"/>
      <c r="D70" s="686"/>
      <c r="E70" s="588" t="s">
        <v>46</v>
      </c>
      <c r="F70" s="595"/>
      <c r="G70" s="590"/>
      <c r="H70" s="596"/>
      <c r="I70" s="592"/>
      <c r="J70" s="651"/>
      <c r="K70" s="598">
        <v>0.015</v>
      </c>
      <c r="L70" s="658">
        <f>Bhn!$M$24</f>
        <v>40000</v>
      </c>
      <c r="M70" s="658">
        <f t="shared" si="0"/>
        <v>600</v>
      </c>
      <c r="N70" s="659"/>
      <c r="O70" s="576"/>
      <c r="P70" s="576"/>
      <c r="X70" s="564"/>
      <c r="Z70" s="564"/>
      <c r="AA70" s="564"/>
      <c r="AD70" s="564"/>
      <c r="AE70" s="564"/>
    </row>
    <row r="71" spans="3:32" s="578" customFormat="1" ht="15" customHeight="1">
      <c r="C71" s="694">
        <f>+C63+1</f>
        <v>11</v>
      </c>
      <c r="D71" s="688"/>
      <c r="E71" s="687" t="s">
        <v>923</v>
      </c>
      <c r="F71" s="691"/>
      <c r="G71" s="689"/>
      <c r="H71" s="690"/>
      <c r="I71" s="654" t="s">
        <v>7</v>
      </c>
      <c r="J71" s="655" t="s">
        <v>116</v>
      </c>
      <c r="K71" s="660"/>
      <c r="L71" s="659"/>
      <c r="M71" s="659"/>
      <c r="N71" s="657">
        <f>SUM(M72:M77)</f>
        <v>21258</v>
      </c>
      <c r="O71" s="560"/>
      <c r="P71" s="560"/>
      <c r="AD71" s="580"/>
      <c r="AE71" s="580"/>
      <c r="AF71" s="580"/>
    </row>
    <row r="72" spans="3:48" s="561" customFormat="1" ht="15" customHeight="1">
      <c r="C72" s="587"/>
      <c r="D72" s="686"/>
      <c r="E72" s="588" t="s">
        <v>66</v>
      </c>
      <c r="F72" s="595"/>
      <c r="G72" s="590"/>
      <c r="H72" s="596"/>
      <c r="I72" s="592"/>
      <c r="J72" s="593" t="s">
        <v>140</v>
      </c>
      <c r="K72" s="598">
        <f>6.48/40</f>
        <v>0.162</v>
      </c>
      <c r="L72" s="658">
        <f>Bhn!$M$44</f>
        <v>39000</v>
      </c>
      <c r="M72" s="658">
        <f t="shared" si="0"/>
        <v>6318</v>
      </c>
      <c r="N72" s="657"/>
      <c r="O72" s="559"/>
      <c r="P72" s="559"/>
      <c r="AB72" s="564"/>
      <c r="AD72" s="564"/>
      <c r="AE72" s="564"/>
      <c r="AF72" s="564"/>
      <c r="AV72" s="564"/>
    </row>
    <row r="73" spans="3:32" s="561" customFormat="1" ht="15" customHeight="1">
      <c r="C73" s="587"/>
      <c r="D73" s="686"/>
      <c r="E73" s="588" t="s">
        <v>60</v>
      </c>
      <c r="F73" s="595"/>
      <c r="G73" s="590" t="s">
        <v>469</v>
      </c>
      <c r="H73" s="596"/>
      <c r="I73" s="592"/>
      <c r="J73" s="593" t="s">
        <v>134</v>
      </c>
      <c r="K73" s="598">
        <v>0.0194</v>
      </c>
      <c r="L73" s="658">
        <f>Bhn!$M$39</f>
        <v>100000</v>
      </c>
      <c r="M73" s="658">
        <f t="shared" si="0"/>
        <v>1940</v>
      </c>
      <c r="N73" s="659"/>
      <c r="O73" s="576"/>
      <c r="P73" s="576"/>
      <c r="AD73" s="564"/>
      <c r="AE73" s="564"/>
      <c r="AF73" s="564"/>
    </row>
    <row r="74" spans="3:32" s="561" customFormat="1" ht="15" customHeight="1">
      <c r="C74" s="587"/>
      <c r="D74" s="686"/>
      <c r="E74" s="588" t="s">
        <v>47</v>
      </c>
      <c r="F74" s="595"/>
      <c r="G74" s="590"/>
      <c r="H74" s="596"/>
      <c r="I74" s="592"/>
      <c r="J74" s="651"/>
      <c r="K74" s="598">
        <v>0.15</v>
      </c>
      <c r="L74" s="658">
        <f>Bhn!$M$25</f>
        <v>40000</v>
      </c>
      <c r="M74" s="658">
        <f t="shared" si="0"/>
        <v>6000</v>
      </c>
      <c r="N74" s="657"/>
      <c r="O74" s="559"/>
      <c r="P74" s="559"/>
      <c r="Z74" s="564"/>
      <c r="AA74" s="564"/>
      <c r="AB74" s="564"/>
      <c r="AD74" s="564"/>
      <c r="AE74" s="564"/>
      <c r="AF74" s="564"/>
    </row>
    <row r="75" spans="3:32" s="561" customFormat="1" ht="15" customHeight="1">
      <c r="C75" s="587"/>
      <c r="D75" s="686"/>
      <c r="E75" s="588" t="s">
        <v>48</v>
      </c>
      <c r="F75" s="595"/>
      <c r="G75" s="590"/>
      <c r="H75" s="596"/>
      <c r="I75" s="592"/>
      <c r="J75" s="651"/>
      <c r="K75" s="598">
        <v>0.015</v>
      </c>
      <c r="L75" s="658">
        <f>Bhn!$M$26</f>
        <v>40000</v>
      </c>
      <c r="M75" s="658">
        <f t="shared" si="0"/>
        <v>600</v>
      </c>
      <c r="N75" s="657"/>
      <c r="O75" s="559"/>
      <c r="P75" s="559"/>
      <c r="AD75" s="564"/>
      <c r="AE75" s="564"/>
      <c r="AF75" s="564"/>
    </row>
    <row r="76" spans="3:32" s="561" customFormat="1" ht="15" customHeight="1">
      <c r="C76" s="587"/>
      <c r="D76" s="686"/>
      <c r="E76" s="588" t="s">
        <v>43</v>
      </c>
      <c r="F76" s="595"/>
      <c r="G76" s="590"/>
      <c r="H76" s="596"/>
      <c r="I76" s="592"/>
      <c r="J76" s="651"/>
      <c r="K76" s="598">
        <v>0.2</v>
      </c>
      <c r="L76" s="658">
        <f>Bhn!$M$23</f>
        <v>30000</v>
      </c>
      <c r="M76" s="658">
        <f t="shared" si="0"/>
        <v>6000</v>
      </c>
      <c r="N76" s="657"/>
      <c r="O76" s="559"/>
      <c r="P76" s="559"/>
      <c r="AD76" s="564"/>
      <c r="AE76" s="564"/>
      <c r="AF76" s="564"/>
    </row>
    <row r="77" spans="3:41" s="561" customFormat="1" ht="15" customHeight="1">
      <c r="C77" s="587"/>
      <c r="D77" s="686"/>
      <c r="E77" s="588" t="s">
        <v>46</v>
      </c>
      <c r="F77" s="595"/>
      <c r="G77" s="590"/>
      <c r="H77" s="596"/>
      <c r="I77" s="592"/>
      <c r="J77" s="651"/>
      <c r="K77" s="598">
        <v>0.01</v>
      </c>
      <c r="L77" s="658">
        <f>Bhn!$M$24</f>
        <v>40000</v>
      </c>
      <c r="M77" s="658">
        <f t="shared" si="0"/>
        <v>400</v>
      </c>
      <c r="N77" s="659"/>
      <c r="O77" s="576"/>
      <c r="P77" s="576"/>
      <c r="AD77" s="564"/>
      <c r="AE77" s="564"/>
      <c r="AF77" s="564"/>
      <c r="AG77" s="564"/>
      <c r="AO77" s="564"/>
    </row>
    <row r="78" spans="3:41" s="561" customFormat="1" ht="15" customHeight="1">
      <c r="C78" s="587"/>
      <c r="D78" s="686"/>
      <c r="E78" s="588"/>
      <c r="F78" s="595"/>
      <c r="G78" s="590"/>
      <c r="H78" s="596"/>
      <c r="I78" s="592"/>
      <c r="J78" s="651"/>
      <c r="K78" s="598"/>
      <c r="L78" s="658"/>
      <c r="M78" s="658"/>
      <c r="N78" s="659"/>
      <c r="O78" s="576"/>
      <c r="P78" s="576"/>
      <c r="AD78" s="564"/>
      <c r="AE78" s="564"/>
      <c r="AF78" s="564"/>
      <c r="AG78" s="564"/>
      <c r="AO78" s="564"/>
    </row>
    <row r="79" spans="3:41" s="578" customFormat="1" ht="15" customHeight="1">
      <c r="C79" s="694">
        <f>C71+1</f>
        <v>12</v>
      </c>
      <c r="D79" s="688"/>
      <c r="E79" s="687" t="s">
        <v>143</v>
      </c>
      <c r="F79" s="691"/>
      <c r="G79" s="689"/>
      <c r="H79" s="690"/>
      <c r="I79" s="654" t="s">
        <v>7</v>
      </c>
      <c r="J79" s="655" t="s">
        <v>116</v>
      </c>
      <c r="K79" s="660"/>
      <c r="L79" s="659"/>
      <c r="M79" s="659"/>
      <c r="N79" s="657">
        <f>SUM(M80:M85)</f>
        <v>23007</v>
      </c>
      <c r="O79" s="560"/>
      <c r="P79" s="560"/>
      <c r="T79" s="580"/>
      <c r="X79" s="580"/>
      <c r="Z79" s="580"/>
      <c r="AA79" s="580"/>
      <c r="AD79" s="580"/>
      <c r="AE79" s="580"/>
      <c r="AF79" s="580"/>
      <c r="AG79" s="580"/>
      <c r="AO79" s="580"/>
    </row>
    <row r="80" spans="3:41" s="561" customFormat="1" ht="15" customHeight="1">
      <c r="C80" s="587"/>
      <c r="D80" s="686"/>
      <c r="E80" s="588" t="s">
        <v>66</v>
      </c>
      <c r="F80" s="595"/>
      <c r="G80" s="590"/>
      <c r="H80" s="596"/>
      <c r="I80" s="592"/>
      <c r="J80" s="593" t="s">
        <v>140</v>
      </c>
      <c r="K80" s="598">
        <f>8.52/40</f>
        <v>0.213</v>
      </c>
      <c r="L80" s="658">
        <f>Bhn!$M$44</f>
        <v>39000</v>
      </c>
      <c r="M80" s="658">
        <f t="shared" si="0"/>
        <v>8307</v>
      </c>
      <c r="N80" s="657"/>
      <c r="O80" s="559"/>
      <c r="P80" s="559"/>
      <c r="T80" s="564"/>
      <c r="X80" s="564"/>
      <c r="Z80" s="564"/>
      <c r="AA80" s="564"/>
      <c r="AB80" s="564"/>
      <c r="AD80" s="564"/>
      <c r="AE80" s="564"/>
      <c r="AF80" s="564"/>
      <c r="AG80" s="564"/>
      <c r="AO80" s="564"/>
    </row>
    <row r="81" spans="3:41" s="561" customFormat="1" ht="15" customHeight="1">
      <c r="C81" s="587"/>
      <c r="D81" s="686"/>
      <c r="E81" s="588" t="s">
        <v>60</v>
      </c>
      <c r="F81" s="595"/>
      <c r="G81" s="590" t="s">
        <v>469</v>
      </c>
      <c r="H81" s="596"/>
      <c r="I81" s="592"/>
      <c r="J81" s="593" t="s">
        <v>134</v>
      </c>
      <c r="K81" s="598">
        <v>0.017</v>
      </c>
      <c r="L81" s="658">
        <f>Bhn!$M$39</f>
        <v>100000</v>
      </c>
      <c r="M81" s="658">
        <f t="shared" si="0"/>
        <v>1700.0000000000002</v>
      </c>
      <c r="N81" s="659"/>
      <c r="O81" s="576"/>
      <c r="P81" s="576"/>
      <c r="T81" s="564"/>
      <c r="X81" s="564"/>
      <c r="Z81" s="564"/>
      <c r="AA81" s="564"/>
      <c r="AD81" s="564"/>
      <c r="AE81" s="564"/>
      <c r="AF81" s="564"/>
      <c r="AO81" s="564"/>
    </row>
    <row r="82" spans="3:41" s="561" customFormat="1" ht="15" customHeight="1">
      <c r="C82" s="587"/>
      <c r="D82" s="686"/>
      <c r="E82" s="588" t="s">
        <v>47</v>
      </c>
      <c r="F82" s="595"/>
      <c r="G82" s="590"/>
      <c r="H82" s="596"/>
      <c r="I82" s="592"/>
      <c r="J82" s="651"/>
      <c r="K82" s="598">
        <v>0.15</v>
      </c>
      <c r="L82" s="658">
        <f>Bhn!$M$25</f>
        <v>40000</v>
      </c>
      <c r="M82" s="658">
        <f t="shared" si="0"/>
        <v>6000</v>
      </c>
      <c r="N82" s="657"/>
      <c r="O82" s="559"/>
      <c r="P82" s="559"/>
      <c r="AD82" s="564"/>
      <c r="AE82" s="564"/>
      <c r="AF82" s="564"/>
      <c r="AO82" s="564"/>
    </row>
    <row r="83" spans="3:55" s="561" customFormat="1" ht="15" customHeight="1">
      <c r="C83" s="587"/>
      <c r="D83" s="686"/>
      <c r="E83" s="588" t="s">
        <v>48</v>
      </c>
      <c r="F83" s="595"/>
      <c r="G83" s="590"/>
      <c r="H83" s="596"/>
      <c r="I83" s="592"/>
      <c r="J83" s="651"/>
      <c r="K83" s="598">
        <v>0.015</v>
      </c>
      <c r="L83" s="658">
        <f>Bhn!$M$26</f>
        <v>40000</v>
      </c>
      <c r="M83" s="658">
        <f t="shared" si="0"/>
        <v>600</v>
      </c>
      <c r="N83" s="657"/>
      <c r="O83" s="559"/>
      <c r="P83" s="559"/>
      <c r="V83" s="564"/>
      <c r="X83" s="564"/>
      <c r="Z83" s="564"/>
      <c r="AA83" s="564"/>
      <c r="AD83" s="564"/>
      <c r="AE83" s="564"/>
      <c r="AF83" s="564"/>
      <c r="AQ83" s="564"/>
      <c r="AV83" s="564"/>
      <c r="AZ83" s="564"/>
      <c r="BC83" s="564"/>
    </row>
    <row r="84" spans="3:58" s="561" customFormat="1" ht="15" customHeight="1">
      <c r="C84" s="587"/>
      <c r="D84" s="686"/>
      <c r="E84" s="588" t="s">
        <v>43</v>
      </c>
      <c r="F84" s="595"/>
      <c r="G84" s="590"/>
      <c r="H84" s="596"/>
      <c r="I84" s="592"/>
      <c r="J84" s="651"/>
      <c r="K84" s="598">
        <v>0.2</v>
      </c>
      <c r="L84" s="658">
        <f>Bhn!$M$23</f>
        <v>30000</v>
      </c>
      <c r="M84" s="658">
        <f t="shared" si="0"/>
        <v>6000</v>
      </c>
      <c r="N84" s="657"/>
      <c r="O84" s="559"/>
      <c r="P84" s="559"/>
      <c r="X84" s="564"/>
      <c r="Z84" s="564"/>
      <c r="AA84" s="564"/>
      <c r="AD84" s="564"/>
      <c r="AE84" s="564"/>
      <c r="AF84" s="564"/>
      <c r="AQ84" s="564"/>
      <c r="AV84" s="564"/>
      <c r="AZ84" s="564"/>
      <c r="BC84" s="564"/>
      <c r="BF84" s="564"/>
    </row>
    <row r="85" spans="3:55" s="561" customFormat="1" ht="15" customHeight="1">
      <c r="C85" s="587"/>
      <c r="D85" s="686"/>
      <c r="E85" s="588" t="s">
        <v>46</v>
      </c>
      <c r="F85" s="595"/>
      <c r="G85" s="590"/>
      <c r="H85" s="596"/>
      <c r="I85" s="592"/>
      <c r="J85" s="651"/>
      <c r="K85" s="598">
        <v>0.01</v>
      </c>
      <c r="L85" s="658">
        <f>Bhn!$M$24</f>
        <v>40000</v>
      </c>
      <c r="M85" s="658">
        <f t="shared" si="0"/>
        <v>400</v>
      </c>
      <c r="N85" s="659"/>
      <c r="O85" s="576"/>
      <c r="P85" s="576"/>
      <c r="X85" s="564"/>
      <c r="Z85" s="564"/>
      <c r="AA85" s="564"/>
      <c r="AD85" s="564"/>
      <c r="AE85" s="564"/>
      <c r="AF85" s="564"/>
      <c r="AQ85" s="564"/>
      <c r="AV85" s="564"/>
      <c r="AZ85" s="564"/>
      <c r="BC85" s="564"/>
    </row>
    <row r="86" spans="3:55" s="561" customFormat="1" ht="15" customHeight="1">
      <c r="C86" s="587"/>
      <c r="D86" s="686"/>
      <c r="E86" s="588"/>
      <c r="F86" s="595"/>
      <c r="G86" s="590"/>
      <c r="H86" s="596"/>
      <c r="I86" s="592"/>
      <c r="J86" s="651"/>
      <c r="K86" s="598"/>
      <c r="L86" s="658"/>
      <c r="M86" s="658"/>
      <c r="N86" s="659"/>
      <c r="O86" s="576"/>
      <c r="P86" s="576"/>
      <c r="X86" s="564"/>
      <c r="Z86" s="564"/>
      <c r="AA86" s="564"/>
      <c r="AD86" s="564"/>
      <c r="AE86" s="564"/>
      <c r="AF86" s="564"/>
      <c r="AQ86" s="564"/>
      <c r="AV86" s="564"/>
      <c r="AZ86" s="564"/>
      <c r="BC86" s="564"/>
    </row>
    <row r="87" spans="3:31" s="578" customFormat="1" ht="15" customHeight="1">
      <c r="C87" s="747">
        <f>C79+1</f>
        <v>13</v>
      </c>
      <c r="D87" s="688"/>
      <c r="E87" s="687" t="s">
        <v>6</v>
      </c>
      <c r="F87" s="691"/>
      <c r="G87" s="691"/>
      <c r="H87" s="690"/>
      <c r="I87" s="662" t="s">
        <v>7</v>
      </c>
      <c r="J87" s="655" t="s">
        <v>116</v>
      </c>
      <c r="K87" s="660"/>
      <c r="L87" s="659"/>
      <c r="M87" s="659"/>
      <c r="N87" s="657">
        <f>SUM(M88:M93)</f>
        <v>18569.6</v>
      </c>
      <c r="O87" s="560"/>
      <c r="P87" s="560"/>
      <c r="X87" s="580"/>
      <c r="Z87" s="580"/>
      <c r="AA87" s="580"/>
      <c r="AB87" s="580"/>
      <c r="AD87" s="580"/>
      <c r="AE87" s="580"/>
    </row>
    <row r="88" spans="3:55" s="561" customFormat="1" ht="15" customHeight="1">
      <c r="C88" s="587"/>
      <c r="D88" s="686"/>
      <c r="E88" s="588" t="s">
        <v>66</v>
      </c>
      <c r="F88" s="595"/>
      <c r="G88" s="590"/>
      <c r="H88" s="596"/>
      <c r="I88" s="592"/>
      <c r="J88" s="593" t="s">
        <v>140</v>
      </c>
      <c r="K88" s="598">
        <f>4.32/50</f>
        <v>0.0864</v>
      </c>
      <c r="L88" s="658">
        <f>Bhn!$M$44</f>
        <v>39000</v>
      </c>
      <c r="M88" s="658">
        <f t="shared" si="0"/>
        <v>3369.6000000000004</v>
      </c>
      <c r="N88" s="657"/>
      <c r="O88" s="559"/>
      <c r="P88" s="559"/>
      <c r="X88" s="564"/>
      <c r="Z88" s="564"/>
      <c r="AA88" s="564"/>
      <c r="AD88" s="564"/>
      <c r="AE88" s="564"/>
      <c r="AF88" s="564"/>
      <c r="AJ88" s="564"/>
      <c r="AQ88" s="564"/>
      <c r="AV88" s="564"/>
      <c r="AZ88" s="564"/>
      <c r="BC88" s="564"/>
    </row>
    <row r="89" spans="3:31" s="561" customFormat="1" ht="15" customHeight="1">
      <c r="C89" s="587"/>
      <c r="D89" s="686"/>
      <c r="E89" s="588" t="s">
        <v>60</v>
      </c>
      <c r="F89" s="595"/>
      <c r="G89" s="590" t="s">
        <v>469</v>
      </c>
      <c r="H89" s="596"/>
      <c r="I89" s="592"/>
      <c r="J89" s="593" t="s">
        <v>134</v>
      </c>
      <c r="K89" s="598">
        <v>0.022</v>
      </c>
      <c r="L89" s="658">
        <f>Bhn!$M$39</f>
        <v>100000</v>
      </c>
      <c r="M89" s="658">
        <f t="shared" si="0"/>
        <v>2200</v>
      </c>
      <c r="N89" s="659"/>
      <c r="O89" s="576"/>
      <c r="P89" s="576"/>
      <c r="AD89" s="564"/>
      <c r="AE89" s="564"/>
    </row>
    <row r="90" spans="3:31" s="561" customFormat="1" ht="15" customHeight="1">
      <c r="C90" s="587"/>
      <c r="D90" s="686"/>
      <c r="E90" s="588" t="s">
        <v>47</v>
      </c>
      <c r="F90" s="595"/>
      <c r="G90" s="590"/>
      <c r="H90" s="596"/>
      <c r="I90" s="592"/>
      <c r="J90" s="651"/>
      <c r="K90" s="598">
        <v>0.15</v>
      </c>
      <c r="L90" s="658">
        <f>Bhn!$M$25</f>
        <v>40000</v>
      </c>
      <c r="M90" s="658">
        <f t="shared" si="0"/>
        <v>6000</v>
      </c>
      <c r="N90" s="659"/>
      <c r="O90" s="576"/>
      <c r="P90" s="576"/>
      <c r="AD90" s="564"/>
      <c r="AE90" s="564"/>
    </row>
    <row r="91" spans="3:31" s="561" customFormat="1" ht="15" customHeight="1">
      <c r="C91" s="587"/>
      <c r="D91" s="686"/>
      <c r="E91" s="588" t="s">
        <v>48</v>
      </c>
      <c r="F91" s="595"/>
      <c r="G91" s="590"/>
      <c r="H91" s="596"/>
      <c r="I91" s="592"/>
      <c r="J91" s="651"/>
      <c r="K91" s="598">
        <v>0.015</v>
      </c>
      <c r="L91" s="658">
        <f>Bhn!$M$26</f>
        <v>40000</v>
      </c>
      <c r="M91" s="658">
        <f aca="true" t="shared" si="1" ref="M91:M121">K91*L91</f>
        <v>600</v>
      </c>
      <c r="N91" s="657"/>
      <c r="O91" s="559"/>
      <c r="P91" s="559"/>
      <c r="T91" s="564"/>
      <c r="X91" s="564"/>
      <c r="Z91" s="564"/>
      <c r="AA91" s="564"/>
      <c r="AD91" s="564"/>
      <c r="AE91" s="564"/>
    </row>
    <row r="92" spans="3:31" s="561" customFormat="1" ht="15" customHeight="1">
      <c r="C92" s="587"/>
      <c r="D92" s="686"/>
      <c r="E92" s="588" t="s">
        <v>43</v>
      </c>
      <c r="F92" s="595"/>
      <c r="G92" s="590"/>
      <c r="H92" s="596"/>
      <c r="I92" s="592"/>
      <c r="J92" s="651"/>
      <c r="K92" s="598">
        <v>0.2</v>
      </c>
      <c r="L92" s="658">
        <f>Bhn!$M$23</f>
        <v>30000</v>
      </c>
      <c r="M92" s="658">
        <f t="shared" si="1"/>
        <v>6000</v>
      </c>
      <c r="N92" s="657"/>
      <c r="O92" s="559"/>
      <c r="P92" s="559"/>
      <c r="X92" s="564"/>
      <c r="Z92" s="564"/>
      <c r="AA92" s="564"/>
      <c r="AB92" s="564"/>
      <c r="AD92" s="564"/>
      <c r="AE92" s="564"/>
    </row>
    <row r="93" spans="3:31" s="561" customFormat="1" ht="15" customHeight="1">
      <c r="C93" s="587"/>
      <c r="D93" s="686"/>
      <c r="E93" s="588" t="s">
        <v>46</v>
      </c>
      <c r="F93" s="595"/>
      <c r="G93" s="590"/>
      <c r="H93" s="596"/>
      <c r="I93" s="651"/>
      <c r="J93" s="651"/>
      <c r="K93" s="598">
        <v>0.01</v>
      </c>
      <c r="L93" s="658">
        <f>Bhn!$M$24</f>
        <v>40000</v>
      </c>
      <c r="M93" s="658">
        <f t="shared" si="1"/>
        <v>400</v>
      </c>
      <c r="N93" s="659"/>
      <c r="O93" s="576"/>
      <c r="P93" s="576"/>
      <c r="X93" s="564"/>
      <c r="Z93" s="564"/>
      <c r="AA93" s="564"/>
      <c r="AB93" s="564"/>
      <c r="AD93" s="564"/>
      <c r="AE93" s="564"/>
    </row>
    <row r="94" spans="3:31" s="561" customFormat="1" ht="15" customHeight="1">
      <c r="C94" s="587"/>
      <c r="D94" s="686"/>
      <c r="E94" s="588"/>
      <c r="F94" s="595"/>
      <c r="G94" s="590"/>
      <c r="H94" s="596"/>
      <c r="I94" s="651"/>
      <c r="J94" s="651"/>
      <c r="K94" s="598"/>
      <c r="L94" s="658"/>
      <c r="M94" s="658"/>
      <c r="N94" s="659"/>
      <c r="O94" s="576"/>
      <c r="P94" s="576"/>
      <c r="X94" s="564"/>
      <c r="Z94" s="564"/>
      <c r="AA94" s="564"/>
      <c r="AB94" s="564"/>
      <c r="AD94" s="564"/>
      <c r="AE94" s="564"/>
    </row>
    <row r="95" spans="3:31" s="578" customFormat="1" ht="15" customHeight="1">
      <c r="C95" s="747">
        <f>C87+1</f>
        <v>14</v>
      </c>
      <c r="D95" s="688"/>
      <c r="E95" s="687" t="s">
        <v>145</v>
      </c>
      <c r="F95" s="691"/>
      <c r="G95" s="689"/>
      <c r="H95" s="690"/>
      <c r="I95" s="660"/>
      <c r="J95" s="655" t="s">
        <v>144</v>
      </c>
      <c r="K95" s="660"/>
      <c r="L95" s="659"/>
      <c r="M95" s="659"/>
      <c r="N95" s="657">
        <f>SUM(M96:M101)</f>
        <v>27112</v>
      </c>
      <c r="O95" s="560"/>
      <c r="P95" s="560"/>
      <c r="X95" s="580"/>
      <c r="AB95" s="580"/>
      <c r="AD95" s="580"/>
      <c r="AE95" s="580"/>
    </row>
    <row r="96" spans="3:31" s="561" customFormat="1" ht="15" customHeight="1">
      <c r="C96" s="587"/>
      <c r="D96" s="686"/>
      <c r="E96" s="588" t="s">
        <v>66</v>
      </c>
      <c r="F96" s="595"/>
      <c r="G96" s="590"/>
      <c r="H96" s="596"/>
      <c r="I96" s="651"/>
      <c r="J96" s="593" t="s">
        <v>140</v>
      </c>
      <c r="K96" s="598">
        <v>0.108</v>
      </c>
      <c r="L96" s="658">
        <f>Bhn!$M$44</f>
        <v>39000</v>
      </c>
      <c r="M96" s="658">
        <f t="shared" si="1"/>
        <v>4212</v>
      </c>
      <c r="N96" s="657"/>
      <c r="O96" s="559"/>
      <c r="P96" s="559"/>
      <c r="X96" s="564"/>
      <c r="Z96" s="564"/>
      <c r="AA96" s="564"/>
      <c r="AB96" s="564"/>
      <c r="AD96" s="564"/>
      <c r="AE96" s="564"/>
    </row>
    <row r="97" spans="3:55" s="561" customFormat="1" ht="15" customHeight="1">
      <c r="C97" s="587"/>
      <c r="D97" s="686"/>
      <c r="E97" s="588" t="s">
        <v>60</v>
      </c>
      <c r="F97" s="595"/>
      <c r="G97" s="590" t="s">
        <v>469</v>
      </c>
      <c r="H97" s="596"/>
      <c r="I97" s="651"/>
      <c r="J97" s="593" t="s">
        <v>134</v>
      </c>
      <c r="K97" s="598">
        <v>0.013</v>
      </c>
      <c r="L97" s="658">
        <f>Bhn!$M$39</f>
        <v>100000</v>
      </c>
      <c r="M97" s="658">
        <f t="shared" si="1"/>
        <v>1300</v>
      </c>
      <c r="N97" s="659"/>
      <c r="O97" s="576"/>
      <c r="P97" s="576"/>
      <c r="X97" s="564"/>
      <c r="Z97" s="564"/>
      <c r="AA97" s="564"/>
      <c r="AB97" s="564"/>
      <c r="AD97" s="564"/>
      <c r="AE97" s="564"/>
      <c r="AF97" s="564"/>
      <c r="AQ97" s="564"/>
      <c r="AV97" s="564"/>
      <c r="AZ97" s="564"/>
      <c r="BC97" s="564"/>
    </row>
    <row r="98" spans="3:55" s="561" customFormat="1" ht="15" customHeight="1">
      <c r="C98" s="587"/>
      <c r="D98" s="686"/>
      <c r="E98" s="588" t="s">
        <v>47</v>
      </c>
      <c r="F98" s="595"/>
      <c r="G98" s="590"/>
      <c r="H98" s="596"/>
      <c r="I98" s="651"/>
      <c r="J98" s="651"/>
      <c r="K98" s="598">
        <v>0.2</v>
      </c>
      <c r="L98" s="658">
        <f>Bhn!$M$25</f>
        <v>40000</v>
      </c>
      <c r="M98" s="658">
        <f t="shared" si="1"/>
        <v>8000</v>
      </c>
      <c r="N98" s="657"/>
      <c r="O98" s="559"/>
      <c r="P98" s="559"/>
      <c r="X98" s="564"/>
      <c r="Z98" s="564"/>
      <c r="AA98" s="564"/>
      <c r="AB98" s="564"/>
      <c r="AD98" s="564"/>
      <c r="AE98" s="564"/>
      <c r="AQ98" s="564"/>
      <c r="AV98" s="564"/>
      <c r="AZ98" s="564"/>
      <c r="BC98" s="564"/>
    </row>
    <row r="99" spans="3:55" s="561" customFormat="1" ht="15" customHeight="1">
      <c r="C99" s="587"/>
      <c r="D99" s="686"/>
      <c r="E99" s="588" t="s">
        <v>48</v>
      </c>
      <c r="F99" s="595"/>
      <c r="G99" s="590"/>
      <c r="H99" s="596"/>
      <c r="I99" s="651"/>
      <c r="J99" s="651"/>
      <c r="K99" s="598">
        <v>0.02</v>
      </c>
      <c r="L99" s="658">
        <f>Bhn!$M$26</f>
        <v>40000</v>
      </c>
      <c r="M99" s="658">
        <f t="shared" si="1"/>
        <v>800</v>
      </c>
      <c r="N99" s="657"/>
      <c r="O99" s="559"/>
      <c r="P99" s="559"/>
      <c r="X99" s="564"/>
      <c r="Z99" s="564"/>
      <c r="AA99" s="564"/>
      <c r="AB99" s="564"/>
      <c r="AD99" s="564"/>
      <c r="AE99" s="564"/>
      <c r="AQ99" s="564"/>
      <c r="AV99" s="564"/>
      <c r="AZ99" s="564"/>
      <c r="BC99" s="564"/>
    </row>
    <row r="100" spans="3:31" s="561" customFormat="1" ht="15" customHeight="1">
      <c r="C100" s="587"/>
      <c r="D100" s="686"/>
      <c r="E100" s="588" t="s">
        <v>43</v>
      </c>
      <c r="F100" s="595"/>
      <c r="G100" s="590"/>
      <c r="H100" s="596"/>
      <c r="I100" s="651"/>
      <c r="J100" s="651"/>
      <c r="K100" s="598">
        <v>0.4</v>
      </c>
      <c r="L100" s="658">
        <f>Bhn!$M$23</f>
        <v>30000</v>
      </c>
      <c r="M100" s="658">
        <f t="shared" si="1"/>
        <v>12000</v>
      </c>
      <c r="N100" s="657"/>
      <c r="O100" s="559"/>
      <c r="P100" s="559"/>
      <c r="X100" s="564"/>
      <c r="Z100" s="564"/>
      <c r="AA100" s="564"/>
      <c r="AB100" s="564"/>
      <c r="AD100" s="564"/>
      <c r="AE100" s="564"/>
    </row>
    <row r="101" spans="3:55" s="561" customFormat="1" ht="15" customHeight="1">
      <c r="C101" s="587"/>
      <c r="D101" s="686"/>
      <c r="E101" s="588" t="s">
        <v>46</v>
      </c>
      <c r="F101" s="595"/>
      <c r="G101" s="590"/>
      <c r="H101" s="596"/>
      <c r="I101" s="651"/>
      <c r="J101" s="651"/>
      <c r="K101" s="598">
        <v>0.02</v>
      </c>
      <c r="L101" s="658">
        <f>Bhn!$M$24</f>
        <v>40000</v>
      </c>
      <c r="M101" s="658">
        <f t="shared" si="1"/>
        <v>800</v>
      </c>
      <c r="N101" s="659"/>
      <c r="O101" s="576"/>
      <c r="P101" s="576"/>
      <c r="X101" s="564"/>
      <c r="AD101" s="564"/>
      <c r="AE101" s="564"/>
      <c r="AQ101" s="564"/>
      <c r="AV101" s="564"/>
      <c r="AZ101" s="564"/>
      <c r="BC101" s="564"/>
    </row>
    <row r="102" spans="3:55" s="561" customFormat="1" ht="15" customHeight="1">
      <c r="C102" s="748"/>
      <c r="D102" s="686"/>
      <c r="E102" s="590"/>
      <c r="F102" s="590"/>
      <c r="G102" s="590"/>
      <c r="H102" s="596"/>
      <c r="I102" s="592"/>
      <c r="J102" s="651"/>
      <c r="K102" s="651"/>
      <c r="L102" s="658"/>
      <c r="M102" s="658"/>
      <c r="N102" s="659"/>
      <c r="O102" s="576"/>
      <c r="P102" s="576"/>
      <c r="AD102" s="564"/>
      <c r="AE102" s="564"/>
      <c r="AQ102" s="564"/>
      <c r="AV102" s="564"/>
      <c r="AZ102" s="564"/>
      <c r="BC102" s="564"/>
    </row>
    <row r="103" spans="3:55" s="578" customFormat="1" ht="15" customHeight="1">
      <c r="C103" s="749"/>
      <c r="D103" s="688"/>
      <c r="E103" s="687" t="s">
        <v>145</v>
      </c>
      <c r="F103" s="691"/>
      <c r="G103" s="689"/>
      <c r="H103" s="690"/>
      <c r="I103" s="660"/>
      <c r="J103" s="655" t="s">
        <v>122</v>
      </c>
      <c r="K103" s="660"/>
      <c r="L103" s="659"/>
      <c r="M103" s="659"/>
      <c r="N103" s="657">
        <f>N95/5</f>
        <v>5422.4</v>
      </c>
      <c r="O103" s="579"/>
      <c r="P103" s="579"/>
      <c r="AD103" s="580"/>
      <c r="AE103" s="580"/>
      <c r="AQ103" s="580"/>
      <c r="AV103" s="580"/>
      <c r="AZ103" s="580"/>
      <c r="BC103" s="580"/>
    </row>
    <row r="104" spans="3:55" s="561" customFormat="1" ht="15" customHeight="1">
      <c r="C104" s="748"/>
      <c r="D104" s="686"/>
      <c r="E104" s="588"/>
      <c r="F104" s="595"/>
      <c r="G104" s="590"/>
      <c r="H104" s="596"/>
      <c r="I104" s="651"/>
      <c r="J104" s="593"/>
      <c r="K104" s="651"/>
      <c r="L104" s="658"/>
      <c r="M104" s="658"/>
      <c r="N104" s="657"/>
      <c r="O104" s="576"/>
      <c r="P104" s="576"/>
      <c r="AD104" s="564"/>
      <c r="AE104" s="564"/>
      <c r="AQ104" s="564"/>
      <c r="AV104" s="564"/>
      <c r="AZ104" s="564"/>
      <c r="BC104" s="564"/>
    </row>
    <row r="105" spans="3:58" s="578" customFormat="1" ht="15" customHeight="1">
      <c r="C105" s="694">
        <f>C95+1</f>
        <v>15</v>
      </c>
      <c r="D105" s="688"/>
      <c r="E105" s="687" t="s">
        <v>147</v>
      </c>
      <c r="F105" s="691"/>
      <c r="G105" s="689"/>
      <c r="H105" s="690"/>
      <c r="I105" s="654" t="s">
        <v>7</v>
      </c>
      <c r="J105" s="655" t="s">
        <v>146</v>
      </c>
      <c r="K105" s="666"/>
      <c r="L105" s="659"/>
      <c r="M105" s="659"/>
      <c r="N105" s="657">
        <f>SUM(M106:M112)</f>
        <v>467450</v>
      </c>
      <c r="O105" s="560"/>
      <c r="P105" s="560"/>
      <c r="T105" s="580"/>
      <c r="X105" s="580"/>
      <c r="Z105" s="580"/>
      <c r="AA105" s="580"/>
      <c r="AD105" s="580"/>
      <c r="AE105" s="580"/>
      <c r="AQ105" s="580"/>
      <c r="AV105" s="580"/>
      <c r="AZ105" s="580"/>
      <c r="BC105" s="580"/>
      <c r="BF105" s="580"/>
    </row>
    <row r="106" spans="3:55" s="561" customFormat="1" ht="15" customHeight="1">
      <c r="C106" s="587"/>
      <c r="D106" s="686"/>
      <c r="E106" s="588" t="s">
        <v>66</v>
      </c>
      <c r="F106" s="595"/>
      <c r="G106" s="590"/>
      <c r="H106" s="596"/>
      <c r="I106" s="592"/>
      <c r="J106" s="593" t="s">
        <v>140</v>
      </c>
      <c r="K106" s="598">
        <f>218/40</f>
        <v>5.45</v>
      </c>
      <c r="L106" s="658">
        <f>Bhn!$M$44</f>
        <v>39000</v>
      </c>
      <c r="M106" s="658">
        <f t="shared" si="1"/>
        <v>212550</v>
      </c>
      <c r="N106" s="657"/>
      <c r="O106" s="559"/>
      <c r="P106" s="559"/>
      <c r="X106" s="564"/>
      <c r="Z106" s="564"/>
      <c r="AA106" s="564"/>
      <c r="AB106" s="564"/>
      <c r="AD106" s="564"/>
      <c r="AE106" s="564"/>
      <c r="AQ106" s="564"/>
      <c r="AV106" s="564"/>
      <c r="AZ106" s="564"/>
      <c r="BC106" s="564"/>
    </row>
    <row r="107" spans="3:55" s="561" customFormat="1" ht="15" customHeight="1">
      <c r="C107" s="587"/>
      <c r="D107" s="686"/>
      <c r="E107" s="588" t="s">
        <v>62</v>
      </c>
      <c r="F107" s="595"/>
      <c r="G107" s="590"/>
      <c r="H107" s="596"/>
      <c r="I107" s="592"/>
      <c r="J107" s="593" t="s">
        <v>134</v>
      </c>
      <c r="K107" s="598">
        <v>0.87</v>
      </c>
      <c r="L107" s="658">
        <f>Bhn!M41</f>
        <v>160000</v>
      </c>
      <c r="M107" s="658">
        <f t="shared" si="1"/>
        <v>139200</v>
      </c>
      <c r="N107" s="657"/>
      <c r="O107" s="559"/>
      <c r="P107" s="559"/>
      <c r="T107" s="564"/>
      <c r="V107" s="564"/>
      <c r="X107" s="564"/>
      <c r="Z107" s="564"/>
      <c r="AA107" s="564"/>
      <c r="AD107" s="564"/>
      <c r="AE107" s="564"/>
      <c r="AQ107" s="564"/>
      <c r="AV107" s="564"/>
      <c r="AZ107" s="564"/>
      <c r="BC107" s="564"/>
    </row>
    <row r="108" spans="3:55" s="561" customFormat="1" ht="15" customHeight="1">
      <c r="C108" s="587"/>
      <c r="D108" s="686"/>
      <c r="E108" s="588" t="s">
        <v>61</v>
      </c>
      <c r="F108" s="595"/>
      <c r="G108" s="590"/>
      <c r="H108" s="596"/>
      <c r="I108" s="592"/>
      <c r="J108" s="593" t="s">
        <v>134</v>
      </c>
      <c r="K108" s="598">
        <v>0.52</v>
      </c>
      <c r="L108" s="658">
        <f>Bhn!$M$39</f>
        <v>100000</v>
      </c>
      <c r="M108" s="658">
        <f t="shared" si="1"/>
        <v>52000</v>
      </c>
      <c r="N108" s="657"/>
      <c r="O108" s="559"/>
      <c r="P108" s="559"/>
      <c r="V108" s="564"/>
      <c r="X108" s="564"/>
      <c r="Z108" s="564"/>
      <c r="AA108" s="564"/>
      <c r="AD108" s="564"/>
      <c r="AE108" s="564"/>
      <c r="AQ108" s="564"/>
      <c r="AV108" s="564"/>
      <c r="AZ108" s="564"/>
      <c r="BC108" s="564"/>
    </row>
    <row r="109" spans="3:55" s="561" customFormat="1" ht="15" customHeight="1">
      <c r="C109" s="587"/>
      <c r="D109" s="686"/>
      <c r="E109" s="588" t="s">
        <v>47</v>
      </c>
      <c r="F109" s="595"/>
      <c r="G109" s="590"/>
      <c r="H109" s="596"/>
      <c r="I109" s="592"/>
      <c r="J109" s="651"/>
      <c r="K109" s="598">
        <v>0.25</v>
      </c>
      <c r="L109" s="658">
        <f>Bhn!$M$25</f>
        <v>40000</v>
      </c>
      <c r="M109" s="658">
        <f t="shared" si="1"/>
        <v>10000</v>
      </c>
      <c r="N109" s="657"/>
      <c r="O109" s="559"/>
      <c r="P109" s="559"/>
      <c r="X109" s="564"/>
      <c r="Z109" s="564"/>
      <c r="AA109" s="564"/>
      <c r="AD109" s="564"/>
      <c r="AE109" s="564"/>
      <c r="AQ109" s="564"/>
      <c r="AV109" s="564"/>
      <c r="AZ109" s="564"/>
      <c r="BC109" s="564"/>
    </row>
    <row r="110" spans="3:27" s="561" customFormat="1" ht="15" customHeight="1">
      <c r="C110" s="587"/>
      <c r="D110" s="686"/>
      <c r="E110" s="588" t="s">
        <v>48</v>
      </c>
      <c r="F110" s="595"/>
      <c r="G110" s="590"/>
      <c r="H110" s="596"/>
      <c r="I110" s="592"/>
      <c r="J110" s="651"/>
      <c r="K110" s="598">
        <v>0.025</v>
      </c>
      <c r="L110" s="658">
        <f>Bhn!$M$26</f>
        <v>40000</v>
      </c>
      <c r="M110" s="658">
        <f t="shared" si="1"/>
        <v>1000</v>
      </c>
      <c r="N110" s="657"/>
      <c r="O110" s="559"/>
      <c r="P110" s="559"/>
      <c r="V110" s="564"/>
      <c r="X110" s="564"/>
      <c r="Z110" s="564"/>
      <c r="AA110" s="564"/>
    </row>
    <row r="111" spans="3:28" s="561" customFormat="1" ht="15" customHeight="1">
      <c r="C111" s="587"/>
      <c r="D111" s="686"/>
      <c r="E111" s="588" t="s">
        <v>43</v>
      </c>
      <c r="F111" s="595"/>
      <c r="G111" s="590"/>
      <c r="H111" s="596"/>
      <c r="I111" s="592"/>
      <c r="J111" s="651"/>
      <c r="K111" s="598">
        <v>1.65</v>
      </c>
      <c r="L111" s="658">
        <f>Bhn!$M$23</f>
        <v>30000</v>
      </c>
      <c r="M111" s="658">
        <f t="shared" si="1"/>
        <v>49500</v>
      </c>
      <c r="N111" s="657"/>
      <c r="O111" s="559"/>
      <c r="P111" s="559"/>
      <c r="X111" s="564"/>
      <c r="Z111" s="564"/>
      <c r="AA111" s="564"/>
      <c r="AB111" s="564"/>
    </row>
    <row r="112" spans="3:27" s="561" customFormat="1" ht="15" customHeight="1">
      <c r="C112" s="587"/>
      <c r="D112" s="686"/>
      <c r="E112" s="588" t="s">
        <v>46</v>
      </c>
      <c r="F112" s="595"/>
      <c r="G112" s="590"/>
      <c r="H112" s="596"/>
      <c r="I112" s="592"/>
      <c r="J112" s="651"/>
      <c r="K112" s="598">
        <v>0.08</v>
      </c>
      <c r="L112" s="658">
        <f>Bhn!$M$24</f>
        <v>40000</v>
      </c>
      <c r="M112" s="658">
        <f t="shared" si="1"/>
        <v>3200</v>
      </c>
      <c r="N112" s="659"/>
      <c r="O112" s="576"/>
      <c r="P112" s="576"/>
      <c r="X112" s="564"/>
      <c r="Z112" s="564"/>
      <c r="AA112" s="564"/>
    </row>
    <row r="113" spans="3:27" s="561" customFormat="1" ht="15" customHeight="1">
      <c r="C113" s="587"/>
      <c r="D113" s="686"/>
      <c r="E113" s="588"/>
      <c r="F113" s="595"/>
      <c r="G113" s="590"/>
      <c r="H113" s="596"/>
      <c r="I113" s="592"/>
      <c r="J113" s="651"/>
      <c r="K113" s="598"/>
      <c r="L113" s="658"/>
      <c r="M113" s="658"/>
      <c r="N113" s="659"/>
      <c r="O113" s="576"/>
      <c r="P113" s="576"/>
      <c r="X113" s="564"/>
      <c r="Z113" s="564"/>
      <c r="AA113" s="564"/>
    </row>
    <row r="114" spans="3:16" s="578" customFormat="1" ht="15" customHeight="1">
      <c r="C114" s="694">
        <f>C105+1</f>
        <v>16</v>
      </c>
      <c r="D114" s="688"/>
      <c r="E114" s="687" t="s">
        <v>1067</v>
      </c>
      <c r="F114" s="691"/>
      <c r="G114" s="689"/>
      <c r="H114" s="690"/>
      <c r="I114" s="654" t="s">
        <v>7</v>
      </c>
      <c r="J114" s="655" t="s">
        <v>109</v>
      </c>
      <c r="K114" s="660"/>
      <c r="L114" s="659"/>
      <c r="M114" s="659"/>
      <c r="N114" s="657">
        <f>SUM(M115:M121)</f>
        <v>590600</v>
      </c>
      <c r="O114" s="560"/>
      <c r="P114" s="560"/>
    </row>
    <row r="115" spans="3:16" s="561" customFormat="1" ht="15" customHeight="1">
      <c r="C115" s="587"/>
      <c r="D115" s="686"/>
      <c r="E115" s="588" t="s">
        <v>66</v>
      </c>
      <c r="F115" s="595"/>
      <c r="G115" s="590"/>
      <c r="H115" s="596"/>
      <c r="I115" s="592"/>
      <c r="J115" s="593" t="s">
        <v>140</v>
      </c>
      <c r="K115" s="598">
        <f>336/40</f>
        <v>8.4</v>
      </c>
      <c r="L115" s="658">
        <f>Bhn!$M$44</f>
        <v>39000</v>
      </c>
      <c r="M115" s="658">
        <f t="shared" si="1"/>
        <v>327600</v>
      </c>
      <c r="N115" s="657"/>
      <c r="O115" s="559"/>
      <c r="P115" s="559"/>
    </row>
    <row r="116" spans="3:16" s="561" customFormat="1" ht="15" customHeight="1">
      <c r="C116" s="587"/>
      <c r="D116" s="686"/>
      <c r="E116" s="588" t="s">
        <v>61</v>
      </c>
      <c r="F116" s="595"/>
      <c r="G116" s="590"/>
      <c r="H116" s="596"/>
      <c r="I116" s="592"/>
      <c r="J116" s="593" t="s">
        <v>134</v>
      </c>
      <c r="K116" s="598">
        <v>0.54</v>
      </c>
      <c r="L116" s="658">
        <f>Bhn!$M$39</f>
        <v>100000</v>
      </c>
      <c r="M116" s="658">
        <f t="shared" si="1"/>
        <v>54000</v>
      </c>
      <c r="N116" s="657"/>
      <c r="O116" s="559"/>
      <c r="P116" s="559"/>
    </row>
    <row r="117" spans="3:16" s="561" customFormat="1" ht="15" customHeight="1">
      <c r="C117" s="587"/>
      <c r="D117" s="686"/>
      <c r="E117" s="588" t="s">
        <v>62</v>
      </c>
      <c r="F117" s="595"/>
      <c r="G117" s="590"/>
      <c r="H117" s="596"/>
      <c r="I117" s="592"/>
      <c r="J117" s="593" t="s">
        <v>134</v>
      </c>
      <c r="K117" s="598">
        <v>0.81</v>
      </c>
      <c r="L117" s="658">
        <f>Bhn!M41</f>
        <v>160000</v>
      </c>
      <c r="M117" s="658">
        <f t="shared" si="1"/>
        <v>129600.00000000001</v>
      </c>
      <c r="N117" s="667" t="s">
        <v>41</v>
      </c>
      <c r="O117" s="584"/>
      <c r="P117" s="584"/>
    </row>
    <row r="118" spans="3:16" s="561" customFormat="1" ht="15" customHeight="1">
      <c r="C118" s="587"/>
      <c r="D118" s="686"/>
      <c r="E118" s="588" t="s">
        <v>47</v>
      </c>
      <c r="F118" s="595"/>
      <c r="G118" s="590"/>
      <c r="H118" s="596"/>
      <c r="I118" s="592"/>
      <c r="J118" s="651"/>
      <c r="K118" s="598">
        <v>0.35</v>
      </c>
      <c r="L118" s="658">
        <f>Bhn!$M$25</f>
        <v>40000</v>
      </c>
      <c r="M118" s="658">
        <f t="shared" si="1"/>
        <v>14000</v>
      </c>
      <c r="N118" s="657"/>
      <c r="O118" s="559"/>
      <c r="P118" s="559"/>
    </row>
    <row r="119" spans="3:31" s="561" customFormat="1" ht="15" customHeight="1">
      <c r="C119" s="587"/>
      <c r="D119" s="686"/>
      <c r="E119" s="588" t="s">
        <v>48</v>
      </c>
      <c r="F119" s="595"/>
      <c r="G119" s="590"/>
      <c r="H119" s="596"/>
      <c r="I119" s="592"/>
      <c r="J119" s="651"/>
      <c r="K119" s="598">
        <v>0.035</v>
      </c>
      <c r="L119" s="658">
        <f>Bhn!$M$26</f>
        <v>40000</v>
      </c>
      <c r="M119" s="658">
        <f t="shared" si="1"/>
        <v>1400.0000000000002</v>
      </c>
      <c r="N119" s="657"/>
      <c r="O119" s="559"/>
      <c r="P119" s="559"/>
      <c r="AD119" s="564"/>
      <c r="AE119" s="564"/>
    </row>
    <row r="120" spans="3:55" s="561" customFormat="1" ht="15" customHeight="1">
      <c r="C120" s="587"/>
      <c r="D120" s="686"/>
      <c r="E120" s="588" t="s">
        <v>43</v>
      </c>
      <c r="F120" s="595"/>
      <c r="G120" s="590"/>
      <c r="H120" s="596"/>
      <c r="I120" s="592"/>
      <c r="J120" s="651"/>
      <c r="K120" s="598">
        <v>2</v>
      </c>
      <c r="L120" s="658">
        <f>Bhn!$M$23</f>
        <v>30000</v>
      </c>
      <c r="M120" s="658">
        <f t="shared" si="1"/>
        <v>60000</v>
      </c>
      <c r="N120" s="657"/>
      <c r="O120" s="559"/>
      <c r="P120" s="559"/>
      <c r="AD120" s="564"/>
      <c r="AE120" s="564"/>
      <c r="AQ120" s="564"/>
      <c r="AV120" s="564"/>
      <c r="AZ120" s="564"/>
      <c r="BC120" s="564"/>
    </row>
    <row r="121" spans="3:55" s="561" customFormat="1" ht="15" customHeight="1">
      <c r="C121" s="587"/>
      <c r="D121" s="686"/>
      <c r="E121" s="588" t="s">
        <v>46</v>
      </c>
      <c r="F121" s="595"/>
      <c r="G121" s="590"/>
      <c r="H121" s="596"/>
      <c r="I121" s="592"/>
      <c r="J121" s="651"/>
      <c r="K121" s="598">
        <v>0.1</v>
      </c>
      <c r="L121" s="658">
        <f>Bhn!$M$24</f>
        <v>40000</v>
      </c>
      <c r="M121" s="658">
        <f t="shared" si="1"/>
        <v>4000</v>
      </c>
      <c r="N121" s="659"/>
      <c r="O121" s="576"/>
      <c r="P121" s="576"/>
      <c r="AD121" s="564"/>
      <c r="AE121" s="564"/>
      <c r="AQ121" s="564"/>
      <c r="AV121" s="564"/>
      <c r="AZ121" s="564"/>
      <c r="BC121" s="564"/>
    </row>
    <row r="122" spans="3:55" s="561" customFormat="1" ht="15" customHeight="1">
      <c r="C122" s="587"/>
      <c r="D122" s="686"/>
      <c r="E122" s="588"/>
      <c r="F122" s="595"/>
      <c r="G122" s="590"/>
      <c r="H122" s="596"/>
      <c r="I122" s="651"/>
      <c r="J122" s="651"/>
      <c r="K122" s="598"/>
      <c r="L122" s="658"/>
      <c r="M122" s="658"/>
      <c r="N122" s="659"/>
      <c r="O122" s="576"/>
      <c r="P122" s="576"/>
      <c r="X122" s="564"/>
      <c r="AD122" s="564"/>
      <c r="AE122" s="564"/>
      <c r="AQ122" s="564"/>
      <c r="AV122" s="564"/>
      <c r="AZ122" s="564"/>
      <c r="BC122" s="564"/>
    </row>
    <row r="123" spans="3:55" s="578" customFormat="1" ht="15" customHeight="1">
      <c r="C123" s="694">
        <f>+C114+1</f>
        <v>17</v>
      </c>
      <c r="D123" s="688"/>
      <c r="E123" s="687" t="s">
        <v>209</v>
      </c>
      <c r="F123" s="691"/>
      <c r="G123" s="689"/>
      <c r="H123" s="690"/>
      <c r="I123" s="654" t="s">
        <v>7</v>
      </c>
      <c r="J123" s="655" t="s">
        <v>132</v>
      </c>
      <c r="K123" s="660"/>
      <c r="L123" s="657"/>
      <c r="M123" s="659"/>
      <c r="N123" s="657">
        <f>SUM(M124:M129)</f>
        <v>10951</v>
      </c>
      <c r="O123" s="560"/>
      <c r="P123" s="560"/>
      <c r="X123" s="580"/>
      <c r="AD123" s="580"/>
      <c r="AE123" s="580"/>
      <c r="AQ123" s="580"/>
      <c r="AV123" s="580"/>
      <c r="AZ123" s="580"/>
      <c r="BC123" s="580"/>
    </row>
    <row r="124" spans="3:55" s="561" customFormat="1" ht="15" customHeight="1">
      <c r="C124" s="587"/>
      <c r="D124" s="686"/>
      <c r="E124" s="588" t="s">
        <v>69</v>
      </c>
      <c r="F124" s="595"/>
      <c r="G124" s="590"/>
      <c r="H124" s="596"/>
      <c r="I124" s="651"/>
      <c r="J124" s="593" t="s">
        <v>148</v>
      </c>
      <c r="K124" s="598">
        <v>1.05</v>
      </c>
      <c r="L124" s="658">
        <f>Bhn!M46</f>
        <v>9800</v>
      </c>
      <c r="M124" s="658">
        <f aca="true" t="shared" si="2" ref="M124:M173">K124*L124</f>
        <v>10290</v>
      </c>
      <c r="N124" s="657"/>
      <c r="O124" s="559"/>
      <c r="P124" s="559"/>
      <c r="X124" s="564"/>
      <c r="AD124" s="564"/>
      <c r="AE124" s="564"/>
      <c r="AQ124" s="564"/>
      <c r="AV124" s="564"/>
      <c r="AZ124" s="564"/>
      <c r="BC124" s="564"/>
    </row>
    <row r="125" spans="3:55" s="561" customFormat="1" ht="15" customHeight="1">
      <c r="C125" s="587"/>
      <c r="D125" s="686"/>
      <c r="E125" s="588" t="s">
        <v>73</v>
      </c>
      <c r="F125" s="595"/>
      <c r="G125" s="590"/>
      <c r="H125" s="596"/>
      <c r="I125" s="651"/>
      <c r="J125" s="593" t="s">
        <v>148</v>
      </c>
      <c r="K125" s="598">
        <v>0.015</v>
      </c>
      <c r="L125" s="658">
        <f>Bhn!$M$50</f>
        <v>8500</v>
      </c>
      <c r="M125" s="658">
        <f t="shared" si="2"/>
        <v>127.5</v>
      </c>
      <c r="N125" s="657"/>
      <c r="O125" s="559"/>
      <c r="P125" s="559"/>
      <c r="X125" s="564"/>
      <c r="AD125" s="564"/>
      <c r="AE125" s="564"/>
      <c r="AQ125" s="564"/>
      <c r="AV125" s="564"/>
      <c r="AZ125" s="564"/>
      <c r="BC125" s="564"/>
    </row>
    <row r="126" spans="3:31" s="561" customFormat="1" ht="15" customHeight="1">
      <c r="C126" s="587"/>
      <c r="D126" s="686"/>
      <c r="E126" s="588" t="s">
        <v>51</v>
      </c>
      <c r="F126" s="595"/>
      <c r="G126" s="590"/>
      <c r="H126" s="596"/>
      <c r="I126" s="651"/>
      <c r="J126" s="651"/>
      <c r="K126" s="598">
        <v>0.007</v>
      </c>
      <c r="L126" s="658">
        <f>Bhn!$M$29</f>
        <v>40000</v>
      </c>
      <c r="M126" s="658">
        <f t="shared" si="2"/>
        <v>280</v>
      </c>
      <c r="N126" s="657"/>
      <c r="O126" s="559"/>
      <c r="P126" s="559"/>
      <c r="X126" s="564"/>
      <c r="AD126" s="564"/>
      <c r="AE126" s="564"/>
    </row>
    <row r="127" spans="3:31" s="561" customFormat="1" ht="15" customHeight="1">
      <c r="C127" s="587"/>
      <c r="D127" s="686"/>
      <c r="E127" s="588" t="s">
        <v>52</v>
      </c>
      <c r="F127" s="595"/>
      <c r="G127" s="590"/>
      <c r="H127" s="596"/>
      <c r="I127" s="651"/>
      <c r="J127" s="651"/>
      <c r="K127" s="668">
        <v>0.0007</v>
      </c>
      <c r="L127" s="658">
        <f>Bhn!$M$30</f>
        <v>45000</v>
      </c>
      <c r="M127" s="658">
        <f t="shared" si="2"/>
        <v>31.5</v>
      </c>
      <c r="N127" s="657"/>
      <c r="O127" s="559"/>
      <c r="P127" s="559"/>
      <c r="X127" s="564"/>
      <c r="AD127" s="564"/>
      <c r="AE127" s="564"/>
    </row>
    <row r="128" spans="3:31" s="561" customFormat="1" ht="15" customHeight="1">
      <c r="C128" s="587"/>
      <c r="D128" s="686"/>
      <c r="E128" s="588" t="s">
        <v>43</v>
      </c>
      <c r="F128" s="595"/>
      <c r="G128" s="590"/>
      <c r="H128" s="596"/>
      <c r="I128" s="651"/>
      <c r="J128" s="651"/>
      <c r="K128" s="598">
        <v>0.007</v>
      </c>
      <c r="L128" s="658">
        <f>Bhn!$M$23</f>
        <v>30000</v>
      </c>
      <c r="M128" s="658">
        <f t="shared" si="2"/>
        <v>210</v>
      </c>
      <c r="N128" s="657"/>
      <c r="O128" s="559"/>
      <c r="P128" s="559"/>
      <c r="X128" s="564"/>
      <c r="AD128" s="564"/>
      <c r="AE128" s="564"/>
    </row>
    <row r="129" spans="3:31" s="561" customFormat="1" ht="15" customHeight="1">
      <c r="C129" s="587"/>
      <c r="D129" s="686"/>
      <c r="E129" s="588" t="s">
        <v>46</v>
      </c>
      <c r="F129" s="595"/>
      <c r="G129" s="590"/>
      <c r="H129" s="596"/>
      <c r="I129" s="651"/>
      <c r="J129" s="651"/>
      <c r="K129" s="668">
        <v>0.0003</v>
      </c>
      <c r="L129" s="658">
        <f>Bhn!$M$24</f>
        <v>40000</v>
      </c>
      <c r="M129" s="658">
        <f t="shared" si="2"/>
        <v>11.999999999999998</v>
      </c>
      <c r="N129" s="657"/>
      <c r="O129" s="559"/>
      <c r="P129" s="559"/>
      <c r="X129" s="564"/>
      <c r="AD129" s="564"/>
      <c r="AE129" s="564"/>
    </row>
    <row r="130" spans="3:24" s="561" customFormat="1" ht="15" customHeight="1">
      <c r="C130" s="587"/>
      <c r="D130" s="686"/>
      <c r="E130" s="588"/>
      <c r="F130" s="595"/>
      <c r="G130" s="590"/>
      <c r="H130" s="596"/>
      <c r="I130" s="651"/>
      <c r="J130" s="651"/>
      <c r="K130" s="598"/>
      <c r="L130" s="658"/>
      <c r="M130" s="658"/>
      <c r="N130" s="659"/>
      <c r="O130" s="576"/>
      <c r="P130" s="576"/>
      <c r="X130" s="564"/>
    </row>
    <row r="131" spans="3:31" s="578" customFormat="1" ht="15" customHeight="1">
      <c r="C131" s="750">
        <f>C123+1</f>
        <v>18</v>
      </c>
      <c r="D131" s="688"/>
      <c r="E131" s="687" t="s">
        <v>172</v>
      </c>
      <c r="F131" s="691"/>
      <c r="G131" s="689"/>
      <c r="H131" s="690"/>
      <c r="I131" s="662" t="s">
        <v>7</v>
      </c>
      <c r="J131" s="662" t="s">
        <v>149</v>
      </c>
      <c r="K131" s="660"/>
      <c r="L131" s="657"/>
      <c r="M131" s="659"/>
      <c r="N131" s="659">
        <f>SUM(M132:M138)</f>
        <v>57097</v>
      </c>
      <c r="O131" s="579"/>
      <c r="P131" s="579"/>
      <c r="AD131" s="580"/>
      <c r="AE131" s="580"/>
    </row>
    <row r="132" spans="3:31" s="561" customFormat="1" ht="15" customHeight="1">
      <c r="C132" s="748"/>
      <c r="D132" s="686"/>
      <c r="E132" s="588" t="s">
        <v>234</v>
      </c>
      <c r="F132" s="595"/>
      <c r="G132" s="590"/>
      <c r="H132" s="596"/>
      <c r="I132" s="651"/>
      <c r="J132" s="593" t="s">
        <v>134</v>
      </c>
      <c r="K132" s="598">
        <v>0.045</v>
      </c>
      <c r="L132" s="658">
        <f>Bhn!$M$62</f>
        <v>710000</v>
      </c>
      <c r="M132" s="658">
        <f t="shared" si="2"/>
        <v>31950</v>
      </c>
      <c r="N132" s="659"/>
      <c r="O132" s="576"/>
      <c r="P132" s="576"/>
      <c r="AD132" s="564"/>
      <c r="AE132" s="564"/>
    </row>
    <row r="133" spans="3:31" s="561" customFormat="1" ht="15" customHeight="1">
      <c r="C133" s="748"/>
      <c r="D133" s="686"/>
      <c r="E133" s="588" t="s">
        <v>72</v>
      </c>
      <c r="F133" s="595"/>
      <c r="G133" s="590"/>
      <c r="H133" s="596"/>
      <c r="I133" s="651"/>
      <c r="J133" s="593" t="s">
        <v>148</v>
      </c>
      <c r="K133" s="598">
        <v>0.3</v>
      </c>
      <c r="L133" s="658">
        <f>Bhn!$M$48</f>
        <v>8590</v>
      </c>
      <c r="M133" s="658">
        <f t="shared" si="2"/>
        <v>2577</v>
      </c>
      <c r="N133" s="659"/>
      <c r="O133" s="576"/>
      <c r="P133" s="576"/>
      <c r="AD133" s="564"/>
      <c r="AE133" s="564"/>
    </row>
    <row r="134" spans="3:31" s="561" customFormat="1" ht="15" customHeight="1">
      <c r="C134" s="748"/>
      <c r="D134" s="686"/>
      <c r="E134" s="588" t="s">
        <v>173</v>
      </c>
      <c r="F134" s="595"/>
      <c r="G134" s="590"/>
      <c r="H134" s="596"/>
      <c r="I134" s="651"/>
      <c r="J134" s="593" t="s">
        <v>177</v>
      </c>
      <c r="K134" s="598">
        <v>0.1</v>
      </c>
      <c r="L134" s="658">
        <f>Bhn!$M$66</f>
        <v>18000</v>
      </c>
      <c r="M134" s="658">
        <f t="shared" si="2"/>
        <v>1800</v>
      </c>
      <c r="N134" s="659"/>
      <c r="O134" s="576"/>
      <c r="P134" s="576"/>
      <c r="AD134" s="564"/>
      <c r="AE134" s="564"/>
    </row>
    <row r="135" spans="3:31" s="561" customFormat="1" ht="15" customHeight="1">
      <c r="C135" s="748"/>
      <c r="D135" s="686"/>
      <c r="E135" s="588" t="s">
        <v>49</v>
      </c>
      <c r="F135" s="595"/>
      <c r="G135" s="590"/>
      <c r="H135" s="596"/>
      <c r="I135" s="651"/>
      <c r="J135" s="651"/>
      <c r="K135" s="598">
        <v>0.26</v>
      </c>
      <c r="L135" s="658">
        <f>Bhn!$M$27</f>
        <v>40000</v>
      </c>
      <c r="M135" s="658">
        <f t="shared" si="2"/>
        <v>10400</v>
      </c>
      <c r="N135" s="659"/>
      <c r="O135" s="576"/>
      <c r="P135" s="576"/>
      <c r="AD135" s="564"/>
      <c r="AE135" s="564"/>
    </row>
    <row r="136" spans="3:31" s="561" customFormat="1" ht="15" customHeight="1">
      <c r="C136" s="748"/>
      <c r="D136" s="686"/>
      <c r="E136" s="588" t="s">
        <v>50</v>
      </c>
      <c r="F136" s="595"/>
      <c r="G136" s="590"/>
      <c r="H136" s="596"/>
      <c r="I136" s="651"/>
      <c r="J136" s="651"/>
      <c r="K136" s="598">
        <v>0.026</v>
      </c>
      <c r="L136" s="658">
        <f>Bhn!$M$28</f>
        <v>45000</v>
      </c>
      <c r="M136" s="658">
        <f t="shared" si="2"/>
        <v>1170</v>
      </c>
      <c r="N136" s="659"/>
      <c r="O136" s="576"/>
      <c r="P136" s="576"/>
      <c r="AD136" s="564"/>
      <c r="AE136" s="564"/>
    </row>
    <row r="137" spans="3:31" s="561" customFormat="1" ht="15" customHeight="1">
      <c r="C137" s="748"/>
      <c r="D137" s="686"/>
      <c r="E137" s="588" t="s">
        <v>43</v>
      </c>
      <c r="F137" s="595"/>
      <c r="G137" s="590"/>
      <c r="H137" s="596"/>
      <c r="I137" s="651"/>
      <c r="J137" s="651"/>
      <c r="K137" s="598">
        <v>0.3</v>
      </c>
      <c r="L137" s="658">
        <f>Bhn!$M$23</f>
        <v>30000</v>
      </c>
      <c r="M137" s="658">
        <f t="shared" si="2"/>
        <v>9000</v>
      </c>
      <c r="N137" s="659"/>
      <c r="O137" s="576"/>
      <c r="P137" s="576"/>
      <c r="AD137" s="564"/>
      <c r="AE137" s="564"/>
    </row>
    <row r="138" spans="3:31" s="561" customFormat="1" ht="15" customHeight="1">
      <c r="C138" s="748"/>
      <c r="D138" s="686"/>
      <c r="E138" s="588" t="s">
        <v>46</v>
      </c>
      <c r="F138" s="595"/>
      <c r="G138" s="590"/>
      <c r="H138" s="596"/>
      <c r="I138" s="651"/>
      <c r="J138" s="651"/>
      <c r="K138" s="598">
        <v>0.005</v>
      </c>
      <c r="L138" s="658">
        <f>Bhn!$M$24</f>
        <v>40000</v>
      </c>
      <c r="M138" s="658">
        <f t="shared" si="2"/>
        <v>200</v>
      </c>
      <c r="N138" s="659"/>
      <c r="O138" s="576"/>
      <c r="P138" s="576"/>
      <c r="AD138" s="564"/>
      <c r="AE138" s="564"/>
    </row>
    <row r="139" spans="3:31" s="578" customFormat="1" ht="15" customHeight="1">
      <c r="C139" s="750">
        <f>C131+1</f>
        <v>19</v>
      </c>
      <c r="D139" s="688"/>
      <c r="E139" s="687" t="s">
        <v>174</v>
      </c>
      <c r="F139" s="691"/>
      <c r="G139" s="689"/>
      <c r="H139" s="690"/>
      <c r="I139" s="662" t="s">
        <v>7</v>
      </c>
      <c r="J139" s="662" t="s">
        <v>149</v>
      </c>
      <c r="K139" s="660"/>
      <c r="L139" s="657"/>
      <c r="M139" s="659"/>
      <c r="N139" s="659">
        <f>SUM(M140:M149)</f>
        <v>112861</v>
      </c>
      <c r="O139" s="579"/>
      <c r="P139" s="579"/>
      <c r="AD139" s="580"/>
      <c r="AE139" s="580"/>
    </row>
    <row r="140" spans="3:31" s="561" customFormat="1" ht="15" customHeight="1">
      <c r="C140" s="748"/>
      <c r="D140" s="686"/>
      <c r="E140" s="588" t="str">
        <f>E132</f>
        <v>Kayu lanan terentang</v>
      </c>
      <c r="F140" s="595"/>
      <c r="G140" s="590"/>
      <c r="H140" s="596"/>
      <c r="I140" s="651"/>
      <c r="J140" s="593" t="s">
        <v>134</v>
      </c>
      <c r="K140" s="598">
        <v>0.04</v>
      </c>
      <c r="L140" s="658">
        <f>Bhn!$M$62</f>
        <v>710000</v>
      </c>
      <c r="M140" s="658">
        <f t="shared" si="2"/>
        <v>28400</v>
      </c>
      <c r="N140" s="659"/>
      <c r="O140" s="576"/>
      <c r="P140" s="576"/>
      <c r="AD140" s="564"/>
      <c r="AE140" s="564"/>
    </row>
    <row r="141" spans="3:31" s="561" customFormat="1" ht="15" customHeight="1">
      <c r="C141" s="748"/>
      <c r="D141" s="686"/>
      <c r="E141" s="588" t="s">
        <v>72</v>
      </c>
      <c r="F141" s="595"/>
      <c r="G141" s="590"/>
      <c r="H141" s="596"/>
      <c r="I141" s="651"/>
      <c r="J141" s="593" t="s">
        <v>148</v>
      </c>
      <c r="K141" s="598">
        <v>0.4</v>
      </c>
      <c r="L141" s="658">
        <f>Bhn!$M$48</f>
        <v>8590</v>
      </c>
      <c r="M141" s="658">
        <f t="shared" si="2"/>
        <v>3436</v>
      </c>
      <c r="N141" s="659"/>
      <c r="O141" s="576"/>
      <c r="P141" s="576"/>
      <c r="AD141" s="564"/>
      <c r="AE141" s="564"/>
    </row>
    <row r="142" spans="3:31" s="561" customFormat="1" ht="15" customHeight="1">
      <c r="C142" s="748"/>
      <c r="D142" s="686"/>
      <c r="E142" s="588" t="s">
        <v>173</v>
      </c>
      <c r="F142" s="595"/>
      <c r="G142" s="590"/>
      <c r="H142" s="596"/>
      <c r="I142" s="651"/>
      <c r="J142" s="593" t="s">
        <v>177</v>
      </c>
      <c r="K142" s="598">
        <v>0.2</v>
      </c>
      <c r="L142" s="658">
        <f>Bhn!$M$66</f>
        <v>18000</v>
      </c>
      <c r="M142" s="658">
        <f t="shared" si="2"/>
        <v>3600</v>
      </c>
      <c r="N142" s="659"/>
      <c r="O142" s="576"/>
      <c r="P142" s="576"/>
      <c r="AD142" s="564"/>
      <c r="AE142" s="564"/>
    </row>
    <row r="143" spans="3:31" s="561" customFormat="1" ht="15" customHeight="1">
      <c r="C143" s="748"/>
      <c r="D143" s="686"/>
      <c r="E143" s="588" t="s">
        <v>235</v>
      </c>
      <c r="F143" s="595"/>
      <c r="G143" s="590"/>
      <c r="H143" s="596"/>
      <c r="I143" s="651"/>
      <c r="J143" s="593" t="s">
        <v>134</v>
      </c>
      <c r="K143" s="598">
        <v>0.015</v>
      </c>
      <c r="L143" s="658">
        <f>Bhn!$M$61</f>
        <v>750000</v>
      </c>
      <c r="M143" s="658">
        <f t="shared" si="2"/>
        <v>11250</v>
      </c>
      <c r="N143" s="659"/>
      <c r="O143" s="576"/>
      <c r="P143" s="576"/>
      <c r="AD143" s="564"/>
      <c r="AE143" s="564"/>
    </row>
    <row r="144" spans="3:31" s="561" customFormat="1" ht="15" customHeight="1">
      <c r="C144" s="748"/>
      <c r="D144" s="686"/>
      <c r="E144" s="588" t="s">
        <v>233</v>
      </c>
      <c r="F144" s="595"/>
      <c r="G144" s="590"/>
      <c r="H144" s="596"/>
      <c r="I144" s="651"/>
      <c r="J144" s="593" t="s">
        <v>176</v>
      </c>
      <c r="K144" s="598">
        <v>2</v>
      </c>
      <c r="L144" s="658">
        <f>Bhn!$M$60</f>
        <v>4500</v>
      </c>
      <c r="M144" s="658">
        <f t="shared" si="2"/>
        <v>9000</v>
      </c>
      <c r="N144" s="659"/>
      <c r="O144" s="576"/>
      <c r="P144" s="576"/>
      <c r="AD144" s="564"/>
      <c r="AE144" s="564"/>
    </row>
    <row r="145" spans="3:31" s="561" customFormat="1" ht="15" customHeight="1">
      <c r="C145" s="748"/>
      <c r="D145" s="686"/>
      <c r="E145" s="588" t="s">
        <v>92</v>
      </c>
      <c r="F145" s="595"/>
      <c r="G145" s="590"/>
      <c r="H145" s="596"/>
      <c r="I145" s="651"/>
      <c r="J145" s="593" t="s">
        <v>155</v>
      </c>
      <c r="K145" s="598">
        <v>0.35</v>
      </c>
      <c r="L145" s="658">
        <f>Bhn!$M$101</f>
        <v>95000</v>
      </c>
      <c r="M145" s="658">
        <f t="shared" si="2"/>
        <v>33250</v>
      </c>
      <c r="N145" s="659"/>
      <c r="O145" s="576"/>
      <c r="P145" s="576"/>
      <c r="AD145" s="564"/>
      <c r="AE145" s="564"/>
    </row>
    <row r="146" spans="3:31" s="561" customFormat="1" ht="15" customHeight="1">
      <c r="C146" s="748"/>
      <c r="D146" s="686"/>
      <c r="E146" s="588" t="s">
        <v>49</v>
      </c>
      <c r="F146" s="595"/>
      <c r="G146" s="590"/>
      <c r="H146" s="596"/>
      <c r="I146" s="651"/>
      <c r="J146" s="651"/>
      <c r="K146" s="598">
        <v>0.33</v>
      </c>
      <c r="L146" s="658">
        <f>Bhn!$M$27</f>
        <v>40000</v>
      </c>
      <c r="M146" s="658">
        <f t="shared" si="2"/>
        <v>13200</v>
      </c>
      <c r="N146" s="659"/>
      <c r="O146" s="576"/>
      <c r="P146" s="576"/>
      <c r="AD146" s="564"/>
      <c r="AE146" s="564"/>
    </row>
    <row r="147" spans="3:31" s="561" customFormat="1" ht="15" customHeight="1">
      <c r="C147" s="748"/>
      <c r="D147" s="686"/>
      <c r="E147" s="588" t="s">
        <v>50</v>
      </c>
      <c r="F147" s="595"/>
      <c r="G147" s="590"/>
      <c r="H147" s="596"/>
      <c r="I147" s="651"/>
      <c r="J147" s="651"/>
      <c r="K147" s="598">
        <v>0.033</v>
      </c>
      <c r="L147" s="658">
        <f>Bhn!$M$28</f>
        <v>45000</v>
      </c>
      <c r="M147" s="658">
        <f t="shared" si="2"/>
        <v>1485</v>
      </c>
      <c r="N147" s="659"/>
      <c r="O147" s="576"/>
      <c r="P147" s="576"/>
      <c r="AD147" s="564"/>
      <c r="AE147" s="564"/>
    </row>
    <row r="148" spans="3:31" s="561" customFormat="1" ht="15" customHeight="1">
      <c r="C148" s="748"/>
      <c r="D148" s="686"/>
      <c r="E148" s="588" t="s">
        <v>43</v>
      </c>
      <c r="F148" s="595"/>
      <c r="G148" s="590"/>
      <c r="H148" s="596"/>
      <c r="I148" s="651"/>
      <c r="J148" s="651"/>
      <c r="K148" s="598">
        <v>0.3</v>
      </c>
      <c r="L148" s="658">
        <f>Bhn!$M$23</f>
        <v>30000</v>
      </c>
      <c r="M148" s="658">
        <f t="shared" si="2"/>
        <v>9000</v>
      </c>
      <c r="N148" s="659"/>
      <c r="O148" s="576"/>
      <c r="P148" s="576"/>
      <c r="AD148" s="564"/>
      <c r="AE148" s="564"/>
    </row>
    <row r="149" spans="3:31" s="561" customFormat="1" ht="15" customHeight="1">
      <c r="C149" s="748"/>
      <c r="D149" s="686"/>
      <c r="E149" s="588" t="s">
        <v>46</v>
      </c>
      <c r="F149" s="595"/>
      <c r="G149" s="590"/>
      <c r="H149" s="596"/>
      <c r="I149" s="651"/>
      <c r="J149" s="651"/>
      <c r="K149" s="598">
        <v>0.006</v>
      </c>
      <c r="L149" s="658">
        <f>Bhn!$M$24</f>
        <v>40000</v>
      </c>
      <c r="M149" s="658">
        <f t="shared" si="2"/>
        <v>240</v>
      </c>
      <c r="N149" s="659"/>
      <c r="O149" s="576"/>
      <c r="P149" s="576"/>
      <c r="AD149" s="564"/>
      <c r="AE149" s="564"/>
    </row>
    <row r="150" spans="3:31" s="561" customFormat="1" ht="15" customHeight="1">
      <c r="C150" s="748"/>
      <c r="D150" s="686"/>
      <c r="E150" s="588"/>
      <c r="F150" s="595"/>
      <c r="G150" s="590"/>
      <c r="H150" s="596"/>
      <c r="I150" s="651"/>
      <c r="J150" s="651"/>
      <c r="K150" s="598"/>
      <c r="L150" s="658"/>
      <c r="M150" s="658"/>
      <c r="N150" s="659"/>
      <c r="O150" s="576"/>
      <c r="P150" s="576"/>
      <c r="AD150" s="564"/>
      <c r="AE150" s="564"/>
    </row>
    <row r="151" spans="3:31" s="578" customFormat="1" ht="15" customHeight="1">
      <c r="C151" s="750">
        <f>C139+1</f>
        <v>20</v>
      </c>
      <c r="D151" s="688"/>
      <c r="E151" s="687" t="s">
        <v>178</v>
      </c>
      <c r="F151" s="691"/>
      <c r="G151" s="689"/>
      <c r="H151" s="690"/>
      <c r="I151" s="662" t="s">
        <v>7</v>
      </c>
      <c r="J151" s="662" t="s">
        <v>149</v>
      </c>
      <c r="K151" s="660"/>
      <c r="L151" s="657"/>
      <c r="M151" s="659"/>
      <c r="N151" s="659">
        <f>SUM(M152:M161)</f>
        <v>115711</v>
      </c>
      <c r="O151" s="579"/>
      <c r="P151" s="579"/>
      <c r="AD151" s="580"/>
      <c r="AE151" s="580"/>
    </row>
    <row r="152" spans="3:31" s="561" customFormat="1" ht="15" customHeight="1">
      <c r="C152" s="748"/>
      <c r="D152" s="686"/>
      <c r="E152" s="588" t="str">
        <f>E132</f>
        <v>Kayu lanan terentang</v>
      </c>
      <c r="F152" s="595"/>
      <c r="G152" s="590"/>
      <c r="H152" s="596"/>
      <c r="I152" s="651"/>
      <c r="J152" s="593" t="s">
        <v>134</v>
      </c>
      <c r="K152" s="598">
        <v>0.04</v>
      </c>
      <c r="L152" s="658">
        <f>Bhn!$M$62</f>
        <v>710000</v>
      </c>
      <c r="M152" s="658">
        <f t="shared" si="2"/>
        <v>28400</v>
      </c>
      <c r="N152" s="659"/>
      <c r="O152" s="576"/>
      <c r="P152" s="576"/>
      <c r="AD152" s="564"/>
      <c r="AE152" s="564"/>
    </row>
    <row r="153" spans="3:31" s="561" customFormat="1" ht="15" customHeight="1">
      <c r="C153" s="748"/>
      <c r="D153" s="686"/>
      <c r="E153" s="588" t="s">
        <v>72</v>
      </c>
      <c r="F153" s="595"/>
      <c r="G153" s="590"/>
      <c r="H153" s="596"/>
      <c r="I153" s="651"/>
      <c r="J153" s="593" t="s">
        <v>148</v>
      </c>
      <c r="K153" s="598">
        <v>0.4</v>
      </c>
      <c r="L153" s="658">
        <f>Bhn!$M$48</f>
        <v>8590</v>
      </c>
      <c r="M153" s="658">
        <f t="shared" si="2"/>
        <v>3436</v>
      </c>
      <c r="N153" s="659"/>
      <c r="O153" s="576"/>
      <c r="P153" s="576"/>
      <c r="AD153" s="564"/>
      <c r="AE153" s="564"/>
    </row>
    <row r="154" spans="3:31" s="561" customFormat="1" ht="15" customHeight="1">
      <c r="C154" s="748"/>
      <c r="D154" s="686"/>
      <c r="E154" s="588" t="s">
        <v>173</v>
      </c>
      <c r="F154" s="595"/>
      <c r="G154" s="590"/>
      <c r="H154" s="596"/>
      <c r="I154" s="651"/>
      <c r="J154" s="593" t="s">
        <v>177</v>
      </c>
      <c r="K154" s="598">
        <v>0.2</v>
      </c>
      <c r="L154" s="658">
        <f>Bhn!$M$66</f>
        <v>18000</v>
      </c>
      <c r="M154" s="658">
        <f t="shared" si="2"/>
        <v>3600</v>
      </c>
      <c r="N154" s="659"/>
      <c r="O154" s="576"/>
      <c r="P154" s="576"/>
      <c r="AD154" s="564"/>
      <c r="AE154" s="564"/>
    </row>
    <row r="155" spans="3:31" s="561" customFormat="1" ht="15" customHeight="1">
      <c r="C155" s="748"/>
      <c r="D155" s="686"/>
      <c r="E155" s="588" t="str">
        <f>E143</f>
        <v>Kayu lanan balok</v>
      </c>
      <c r="F155" s="595"/>
      <c r="G155" s="590"/>
      <c r="H155" s="596"/>
      <c r="I155" s="651"/>
      <c r="J155" s="593" t="s">
        <v>134</v>
      </c>
      <c r="K155" s="598">
        <v>0.018</v>
      </c>
      <c r="L155" s="658">
        <f>Bhn!$M$61</f>
        <v>750000</v>
      </c>
      <c r="M155" s="658">
        <f t="shared" si="2"/>
        <v>13499.999999999998</v>
      </c>
      <c r="N155" s="659"/>
      <c r="O155" s="576"/>
      <c r="P155" s="576"/>
      <c r="AD155" s="564"/>
      <c r="AE155" s="564"/>
    </row>
    <row r="156" spans="3:31" s="561" customFormat="1" ht="15" customHeight="1">
      <c r="C156" s="748"/>
      <c r="D156" s="686"/>
      <c r="E156" s="588" t="str">
        <f>E144</f>
        <v>Kayu dolken 8 - 10 cm</v>
      </c>
      <c r="F156" s="595"/>
      <c r="G156" s="590"/>
      <c r="H156" s="596"/>
      <c r="I156" s="651"/>
      <c r="J156" s="593" t="s">
        <v>176</v>
      </c>
      <c r="K156" s="598">
        <v>2</v>
      </c>
      <c r="L156" s="658">
        <f>Bhn!$M$60</f>
        <v>4500</v>
      </c>
      <c r="M156" s="658">
        <f t="shared" si="2"/>
        <v>9000</v>
      </c>
      <c r="N156" s="659"/>
      <c r="O156" s="576"/>
      <c r="P156" s="576"/>
      <c r="AD156" s="564"/>
      <c r="AE156" s="564"/>
    </row>
    <row r="157" spans="3:31" s="561" customFormat="1" ht="15" customHeight="1">
      <c r="C157" s="748"/>
      <c r="D157" s="686"/>
      <c r="E157" s="588" t="s">
        <v>92</v>
      </c>
      <c r="F157" s="595"/>
      <c r="G157" s="590"/>
      <c r="H157" s="596"/>
      <c r="I157" s="651"/>
      <c r="J157" s="593" t="s">
        <v>155</v>
      </c>
      <c r="K157" s="598">
        <v>0.35</v>
      </c>
      <c r="L157" s="658">
        <f>Bhn!$M$101</f>
        <v>95000</v>
      </c>
      <c r="M157" s="658">
        <f t="shared" si="2"/>
        <v>33250</v>
      </c>
      <c r="N157" s="659"/>
      <c r="O157" s="576"/>
      <c r="P157" s="576"/>
      <c r="AD157" s="564"/>
      <c r="AE157" s="564"/>
    </row>
    <row r="158" spans="3:31" s="561" customFormat="1" ht="15" customHeight="1">
      <c r="C158" s="748"/>
      <c r="D158" s="686"/>
      <c r="E158" s="588" t="s">
        <v>49</v>
      </c>
      <c r="F158" s="595"/>
      <c r="G158" s="590"/>
      <c r="H158" s="596"/>
      <c r="I158" s="651"/>
      <c r="J158" s="651"/>
      <c r="K158" s="598">
        <v>0.33</v>
      </c>
      <c r="L158" s="658">
        <f>Bhn!$M$27</f>
        <v>40000</v>
      </c>
      <c r="M158" s="658">
        <f t="shared" si="2"/>
        <v>13200</v>
      </c>
      <c r="N158" s="659"/>
      <c r="O158" s="576"/>
      <c r="P158" s="576"/>
      <c r="AD158" s="564"/>
      <c r="AE158" s="564"/>
    </row>
    <row r="159" spans="3:31" s="561" customFormat="1" ht="15" customHeight="1">
      <c r="C159" s="748"/>
      <c r="D159" s="686"/>
      <c r="E159" s="588" t="s">
        <v>50</v>
      </c>
      <c r="F159" s="595"/>
      <c r="G159" s="590"/>
      <c r="H159" s="596"/>
      <c r="I159" s="651"/>
      <c r="J159" s="651"/>
      <c r="K159" s="598">
        <v>0.033</v>
      </c>
      <c r="L159" s="658">
        <f>Bhn!$M$28</f>
        <v>45000</v>
      </c>
      <c r="M159" s="658">
        <f t="shared" si="2"/>
        <v>1485</v>
      </c>
      <c r="N159" s="659"/>
      <c r="O159" s="576"/>
      <c r="P159" s="576"/>
      <c r="AD159" s="564"/>
      <c r="AE159" s="564"/>
    </row>
    <row r="160" spans="3:31" s="561" customFormat="1" ht="15" customHeight="1">
      <c r="C160" s="748"/>
      <c r="D160" s="686"/>
      <c r="E160" s="588" t="s">
        <v>43</v>
      </c>
      <c r="F160" s="595"/>
      <c r="G160" s="590"/>
      <c r="H160" s="596"/>
      <c r="I160" s="651"/>
      <c r="J160" s="651"/>
      <c r="K160" s="598">
        <v>0.32</v>
      </c>
      <c r="L160" s="658">
        <f>Bhn!$M$23</f>
        <v>30000</v>
      </c>
      <c r="M160" s="658">
        <f t="shared" si="2"/>
        <v>9600</v>
      </c>
      <c r="N160" s="659"/>
      <c r="O160" s="576"/>
      <c r="P160" s="576"/>
      <c r="AD160" s="564"/>
      <c r="AE160" s="564"/>
    </row>
    <row r="161" spans="3:31" s="561" customFormat="1" ht="15" customHeight="1">
      <c r="C161" s="748"/>
      <c r="D161" s="686"/>
      <c r="E161" s="588" t="s">
        <v>46</v>
      </c>
      <c r="F161" s="595"/>
      <c r="G161" s="590"/>
      <c r="H161" s="596"/>
      <c r="I161" s="651"/>
      <c r="J161" s="651"/>
      <c r="K161" s="598">
        <v>0.006</v>
      </c>
      <c r="L161" s="658">
        <f>Bhn!$M$24</f>
        <v>40000</v>
      </c>
      <c r="M161" s="658">
        <f t="shared" si="2"/>
        <v>240</v>
      </c>
      <c r="N161" s="659"/>
      <c r="O161" s="576"/>
      <c r="P161" s="576"/>
      <c r="AD161" s="564"/>
      <c r="AE161" s="564"/>
    </row>
    <row r="162" spans="3:31" s="561" customFormat="1" ht="15" customHeight="1">
      <c r="C162" s="748"/>
      <c r="D162" s="686"/>
      <c r="E162" s="588"/>
      <c r="F162" s="595"/>
      <c r="G162" s="590"/>
      <c r="H162" s="596"/>
      <c r="I162" s="651"/>
      <c r="J162" s="651"/>
      <c r="K162" s="598"/>
      <c r="L162" s="658"/>
      <c r="M162" s="658"/>
      <c r="N162" s="659"/>
      <c r="O162" s="576"/>
      <c r="P162" s="576"/>
      <c r="AD162" s="564"/>
      <c r="AE162" s="564"/>
    </row>
    <row r="163" spans="3:31" s="578" customFormat="1" ht="15" customHeight="1">
      <c r="C163" s="750">
        <f>C151+1</f>
        <v>21</v>
      </c>
      <c r="D163" s="688"/>
      <c r="E163" s="687" t="s">
        <v>179</v>
      </c>
      <c r="F163" s="691"/>
      <c r="G163" s="689"/>
      <c r="H163" s="690"/>
      <c r="I163" s="662" t="s">
        <v>7</v>
      </c>
      <c r="J163" s="662" t="s">
        <v>149</v>
      </c>
      <c r="K163" s="660"/>
      <c r="L163" s="657"/>
      <c r="M163" s="659"/>
      <c r="N163" s="659">
        <f>SUM(M164:M173)</f>
        <v>131461</v>
      </c>
      <c r="O163" s="579"/>
      <c r="P163" s="579"/>
      <c r="AD163" s="580"/>
      <c r="AE163" s="580"/>
    </row>
    <row r="164" spans="3:31" s="561" customFormat="1" ht="15" customHeight="1">
      <c r="C164" s="748"/>
      <c r="D164" s="686"/>
      <c r="E164" s="588" t="str">
        <f>E132</f>
        <v>Kayu lanan terentang</v>
      </c>
      <c r="F164" s="595"/>
      <c r="G164" s="590"/>
      <c r="H164" s="596"/>
      <c r="I164" s="651"/>
      <c r="J164" s="593" t="s">
        <v>134</v>
      </c>
      <c r="K164" s="598">
        <v>0.04</v>
      </c>
      <c r="L164" s="658">
        <f>Bhn!$M$62</f>
        <v>710000</v>
      </c>
      <c r="M164" s="658">
        <f t="shared" si="2"/>
        <v>28400</v>
      </c>
      <c r="N164" s="659"/>
      <c r="O164" s="576"/>
      <c r="P164" s="576"/>
      <c r="AD164" s="564"/>
      <c r="AE164" s="564"/>
    </row>
    <row r="165" spans="3:31" s="561" customFormat="1" ht="15" customHeight="1">
      <c r="C165" s="748"/>
      <c r="D165" s="686"/>
      <c r="E165" s="588" t="s">
        <v>72</v>
      </c>
      <c r="F165" s="595"/>
      <c r="G165" s="590"/>
      <c r="H165" s="596"/>
      <c r="I165" s="651"/>
      <c r="J165" s="593" t="s">
        <v>148</v>
      </c>
      <c r="K165" s="598">
        <v>0.4</v>
      </c>
      <c r="L165" s="658">
        <f>Bhn!$M$48</f>
        <v>8590</v>
      </c>
      <c r="M165" s="658">
        <f t="shared" si="2"/>
        <v>3436</v>
      </c>
      <c r="N165" s="659"/>
      <c r="O165" s="576"/>
      <c r="P165" s="576"/>
      <c r="AD165" s="564"/>
      <c r="AE165" s="564"/>
    </row>
    <row r="166" spans="3:31" s="561" customFormat="1" ht="15" customHeight="1">
      <c r="C166" s="748"/>
      <c r="D166" s="686"/>
      <c r="E166" s="588" t="s">
        <v>173</v>
      </c>
      <c r="F166" s="595"/>
      <c r="G166" s="590"/>
      <c r="H166" s="596"/>
      <c r="I166" s="651"/>
      <c r="J166" s="593" t="s">
        <v>177</v>
      </c>
      <c r="K166" s="598">
        <v>0.2</v>
      </c>
      <c r="L166" s="658">
        <f>Bhn!$M$66</f>
        <v>18000</v>
      </c>
      <c r="M166" s="658">
        <f t="shared" si="2"/>
        <v>3600</v>
      </c>
      <c r="N166" s="659"/>
      <c r="O166" s="576"/>
      <c r="P166" s="576"/>
      <c r="AD166" s="564"/>
      <c r="AE166" s="564"/>
    </row>
    <row r="167" spans="3:31" s="561" customFormat="1" ht="15" customHeight="1">
      <c r="C167" s="748"/>
      <c r="D167" s="686"/>
      <c r="E167" s="588" t="str">
        <f>E143</f>
        <v>Kayu lanan balok</v>
      </c>
      <c r="F167" s="595"/>
      <c r="G167" s="590"/>
      <c r="H167" s="596"/>
      <c r="I167" s="651"/>
      <c r="J167" s="593" t="s">
        <v>134</v>
      </c>
      <c r="K167" s="598">
        <v>0.015</v>
      </c>
      <c r="L167" s="658">
        <f>Bhn!$M$61</f>
        <v>750000</v>
      </c>
      <c r="M167" s="658">
        <f t="shared" si="2"/>
        <v>11250</v>
      </c>
      <c r="N167" s="659"/>
      <c r="O167" s="576"/>
      <c r="P167" s="576"/>
      <c r="AD167" s="564"/>
      <c r="AE167" s="564"/>
    </row>
    <row r="168" spans="3:31" s="561" customFormat="1" ht="15" customHeight="1">
      <c r="C168" s="748"/>
      <c r="D168" s="686"/>
      <c r="E168" s="588" t="str">
        <f>E144</f>
        <v>Kayu dolken 8 - 10 cm</v>
      </c>
      <c r="F168" s="595"/>
      <c r="G168" s="590"/>
      <c r="H168" s="596"/>
      <c r="I168" s="651"/>
      <c r="J168" s="593" t="s">
        <v>176</v>
      </c>
      <c r="K168" s="598">
        <v>6</v>
      </c>
      <c r="L168" s="658">
        <f>Bhn!$M$60</f>
        <v>4500</v>
      </c>
      <c r="M168" s="658">
        <f t="shared" si="2"/>
        <v>27000</v>
      </c>
      <c r="N168" s="659"/>
      <c r="O168" s="576"/>
      <c r="P168" s="576"/>
      <c r="AD168" s="564"/>
      <c r="AE168" s="564"/>
    </row>
    <row r="169" spans="3:31" s="561" customFormat="1" ht="15" customHeight="1">
      <c r="C169" s="748"/>
      <c r="D169" s="686"/>
      <c r="E169" s="588" t="s">
        <v>92</v>
      </c>
      <c r="F169" s="595"/>
      <c r="G169" s="590"/>
      <c r="H169" s="596"/>
      <c r="I169" s="651"/>
      <c r="J169" s="593" t="s">
        <v>155</v>
      </c>
      <c r="K169" s="598">
        <v>0.35</v>
      </c>
      <c r="L169" s="658">
        <f>Bhn!$M$101</f>
        <v>95000</v>
      </c>
      <c r="M169" s="658">
        <f t="shared" si="2"/>
        <v>33250</v>
      </c>
      <c r="N169" s="659"/>
      <c r="O169" s="576"/>
      <c r="P169" s="576"/>
      <c r="AD169" s="564"/>
      <c r="AE169" s="564"/>
    </row>
    <row r="170" spans="3:31" s="561" customFormat="1" ht="15" customHeight="1">
      <c r="C170" s="748"/>
      <c r="D170" s="686"/>
      <c r="E170" s="588" t="s">
        <v>49</v>
      </c>
      <c r="F170" s="595"/>
      <c r="G170" s="590"/>
      <c r="H170" s="596"/>
      <c r="I170" s="651"/>
      <c r="J170" s="651"/>
      <c r="K170" s="598">
        <v>0.33</v>
      </c>
      <c r="L170" s="658">
        <f>Bhn!$M$27</f>
        <v>40000</v>
      </c>
      <c r="M170" s="658">
        <f t="shared" si="2"/>
        <v>13200</v>
      </c>
      <c r="N170" s="659"/>
      <c r="O170" s="576"/>
      <c r="P170" s="576"/>
      <c r="AD170" s="564"/>
      <c r="AE170" s="564"/>
    </row>
    <row r="171" spans="3:31" s="561" customFormat="1" ht="15" customHeight="1">
      <c r="C171" s="748"/>
      <c r="D171" s="686"/>
      <c r="E171" s="588" t="s">
        <v>50</v>
      </c>
      <c r="F171" s="595"/>
      <c r="G171" s="590"/>
      <c r="H171" s="596"/>
      <c r="I171" s="651"/>
      <c r="J171" s="651"/>
      <c r="K171" s="598">
        <v>0.033</v>
      </c>
      <c r="L171" s="658">
        <f>Bhn!$M$28</f>
        <v>45000</v>
      </c>
      <c r="M171" s="658">
        <f t="shared" si="2"/>
        <v>1485</v>
      </c>
      <c r="N171" s="659"/>
      <c r="O171" s="576"/>
      <c r="P171" s="576"/>
      <c r="AD171" s="564"/>
      <c r="AE171" s="564"/>
    </row>
    <row r="172" spans="3:31" s="561" customFormat="1" ht="15" customHeight="1">
      <c r="C172" s="748"/>
      <c r="D172" s="686"/>
      <c r="E172" s="588" t="s">
        <v>43</v>
      </c>
      <c r="F172" s="595"/>
      <c r="G172" s="590"/>
      <c r="H172" s="596"/>
      <c r="I172" s="651"/>
      <c r="J172" s="651"/>
      <c r="K172" s="598">
        <v>0.32</v>
      </c>
      <c r="L172" s="658">
        <f>Bhn!$M$23</f>
        <v>30000</v>
      </c>
      <c r="M172" s="658">
        <f t="shared" si="2"/>
        <v>9600</v>
      </c>
      <c r="N172" s="659"/>
      <c r="O172" s="576"/>
      <c r="P172" s="576"/>
      <c r="AD172" s="564"/>
      <c r="AE172" s="564"/>
    </row>
    <row r="173" spans="3:31" s="561" customFormat="1" ht="15" customHeight="1">
      <c r="C173" s="748"/>
      <c r="D173" s="686"/>
      <c r="E173" s="588" t="s">
        <v>46</v>
      </c>
      <c r="F173" s="595"/>
      <c r="G173" s="590"/>
      <c r="H173" s="596"/>
      <c r="I173" s="651"/>
      <c r="J173" s="651"/>
      <c r="K173" s="598">
        <v>0.006</v>
      </c>
      <c r="L173" s="658">
        <f>Bhn!$M$24</f>
        <v>40000</v>
      </c>
      <c r="M173" s="658">
        <f t="shared" si="2"/>
        <v>240</v>
      </c>
      <c r="N173" s="659"/>
      <c r="O173" s="576"/>
      <c r="P173" s="576"/>
      <c r="AD173" s="564"/>
      <c r="AE173" s="564"/>
    </row>
    <row r="174" spans="3:31" s="561" customFormat="1" ht="15" customHeight="1">
      <c r="C174" s="748"/>
      <c r="D174" s="686"/>
      <c r="E174" s="588"/>
      <c r="F174" s="595"/>
      <c r="G174" s="590"/>
      <c r="H174" s="596"/>
      <c r="I174" s="651"/>
      <c r="J174" s="651"/>
      <c r="K174" s="598"/>
      <c r="L174" s="658"/>
      <c r="M174" s="658"/>
      <c r="N174" s="659"/>
      <c r="O174" s="576"/>
      <c r="P174" s="576"/>
      <c r="AD174" s="564"/>
      <c r="AE174" s="564"/>
    </row>
    <row r="175" spans="3:16" s="578" customFormat="1" ht="15" customHeight="1">
      <c r="C175" s="694">
        <f>+C163+1</f>
        <v>22</v>
      </c>
      <c r="D175" s="688"/>
      <c r="E175" s="687" t="s">
        <v>151</v>
      </c>
      <c r="F175" s="691"/>
      <c r="G175" s="689"/>
      <c r="H175" s="693"/>
      <c r="I175" s="654" t="s">
        <v>7</v>
      </c>
      <c r="J175" s="655" t="s">
        <v>150</v>
      </c>
      <c r="K175" s="660"/>
      <c r="L175" s="657"/>
      <c r="M175" s="659"/>
      <c r="N175" s="657">
        <f>SUM(M176:M183)</f>
        <v>85758</v>
      </c>
      <c r="O175" s="560"/>
      <c r="P175" s="560"/>
    </row>
    <row r="176" spans="3:28" s="561" customFormat="1" ht="15" customHeight="1">
      <c r="C176" s="587"/>
      <c r="D176" s="686"/>
      <c r="E176" s="588" t="s">
        <v>98</v>
      </c>
      <c r="F176" s="595"/>
      <c r="G176" s="590"/>
      <c r="H176" s="591"/>
      <c r="I176" s="592"/>
      <c r="J176" s="593" t="s">
        <v>149</v>
      </c>
      <c r="K176" s="598">
        <v>1</v>
      </c>
      <c r="L176" s="658">
        <f>Bhn!$M$116</f>
        <v>35000</v>
      </c>
      <c r="M176" s="658">
        <f aca="true" t="shared" si="3" ref="M176:M183">K176*L176</f>
        <v>35000</v>
      </c>
      <c r="N176" s="657"/>
      <c r="O176" s="559"/>
      <c r="P176" s="559"/>
      <c r="Z176" s="564"/>
      <c r="AA176" s="564"/>
      <c r="AB176" s="564"/>
    </row>
    <row r="177" spans="3:58" s="561" customFormat="1" ht="15" customHeight="1">
      <c r="C177" s="587"/>
      <c r="D177" s="686"/>
      <c r="E177" s="588" t="s">
        <v>66</v>
      </c>
      <c r="F177" s="595"/>
      <c r="G177" s="590"/>
      <c r="H177" s="591"/>
      <c r="I177" s="592"/>
      <c r="J177" s="593" t="s">
        <v>140</v>
      </c>
      <c r="K177" s="598">
        <f>11.38/40</f>
        <v>0.28450000000000003</v>
      </c>
      <c r="L177" s="658">
        <f>Bhn!$M$44</f>
        <v>39000</v>
      </c>
      <c r="M177" s="658">
        <f t="shared" si="3"/>
        <v>11095.500000000002</v>
      </c>
      <c r="N177" s="657"/>
      <c r="O177" s="559"/>
      <c r="P177" s="559"/>
      <c r="X177" s="564"/>
      <c r="AD177" s="564"/>
      <c r="AE177" s="564"/>
      <c r="AQ177" s="564"/>
      <c r="AV177" s="564"/>
      <c r="AZ177" s="564"/>
      <c r="BC177" s="564"/>
      <c r="BF177" s="564"/>
    </row>
    <row r="178" spans="3:58" s="561" customFormat="1" ht="15" customHeight="1">
      <c r="C178" s="587"/>
      <c r="D178" s="686"/>
      <c r="E178" s="588" t="s">
        <v>60</v>
      </c>
      <c r="F178" s="595"/>
      <c r="G178" s="590"/>
      <c r="H178" s="591"/>
      <c r="I178" s="592"/>
      <c r="J178" s="593" t="s">
        <v>134</v>
      </c>
      <c r="K178" s="598">
        <v>0.042</v>
      </c>
      <c r="L178" s="658">
        <f>Bhn!$M$39</f>
        <v>100000</v>
      </c>
      <c r="M178" s="658">
        <f t="shared" si="3"/>
        <v>4200</v>
      </c>
      <c r="N178" s="657"/>
      <c r="O178" s="559"/>
      <c r="P178" s="559"/>
      <c r="AD178" s="564"/>
      <c r="AE178" s="564"/>
      <c r="AQ178" s="564"/>
      <c r="AV178" s="564"/>
      <c r="AZ178" s="564"/>
      <c r="BC178" s="564"/>
      <c r="BF178" s="564"/>
    </row>
    <row r="179" spans="3:58" s="561" customFormat="1" ht="15" customHeight="1">
      <c r="C179" s="587"/>
      <c r="D179" s="686"/>
      <c r="E179" s="588" t="s">
        <v>68</v>
      </c>
      <c r="F179" s="595"/>
      <c r="G179" s="590"/>
      <c r="H179" s="591"/>
      <c r="I179" s="592"/>
      <c r="J179" s="593" t="s">
        <v>140</v>
      </c>
      <c r="K179" s="598">
        <f>1.5/40</f>
        <v>0.0375</v>
      </c>
      <c r="L179" s="658">
        <f>Bhn!$M$45</f>
        <v>7000</v>
      </c>
      <c r="M179" s="658">
        <f t="shared" si="3"/>
        <v>262.5</v>
      </c>
      <c r="N179" s="659"/>
      <c r="O179" s="576"/>
      <c r="P179" s="576"/>
      <c r="Z179" s="564"/>
      <c r="AA179" s="564"/>
      <c r="AD179" s="564"/>
      <c r="AE179" s="564"/>
      <c r="AQ179" s="564"/>
      <c r="AV179" s="564"/>
      <c r="AZ179" s="564"/>
      <c r="BC179" s="564"/>
      <c r="BF179" s="564"/>
    </row>
    <row r="180" spans="3:58" s="561" customFormat="1" ht="15" customHeight="1">
      <c r="C180" s="587"/>
      <c r="D180" s="686"/>
      <c r="E180" s="588" t="s">
        <v>47</v>
      </c>
      <c r="F180" s="595"/>
      <c r="G180" s="590"/>
      <c r="H180" s="591"/>
      <c r="I180" s="592"/>
      <c r="J180" s="651"/>
      <c r="K180" s="598">
        <v>0.35</v>
      </c>
      <c r="L180" s="658">
        <f>Bhn!$M$25</f>
        <v>40000</v>
      </c>
      <c r="M180" s="658">
        <f t="shared" si="3"/>
        <v>14000</v>
      </c>
      <c r="N180" s="657"/>
      <c r="O180" s="559"/>
      <c r="P180" s="559"/>
      <c r="X180" s="564"/>
      <c r="Z180" s="564"/>
      <c r="AA180" s="564"/>
      <c r="AB180" s="564"/>
      <c r="AD180" s="564"/>
      <c r="AE180" s="564"/>
      <c r="AF180" s="564"/>
      <c r="AQ180" s="564"/>
      <c r="AV180" s="564"/>
      <c r="AZ180" s="564"/>
      <c r="BC180" s="564"/>
      <c r="BF180" s="564"/>
    </row>
    <row r="181" spans="3:58" s="561" customFormat="1" ht="15" customHeight="1">
      <c r="C181" s="587"/>
      <c r="D181" s="686"/>
      <c r="E181" s="588" t="s">
        <v>48</v>
      </c>
      <c r="F181" s="595"/>
      <c r="G181" s="590"/>
      <c r="H181" s="591"/>
      <c r="I181" s="592"/>
      <c r="J181" s="651"/>
      <c r="K181" s="598">
        <v>0.035</v>
      </c>
      <c r="L181" s="658">
        <f>Bhn!$M$26</f>
        <v>40000</v>
      </c>
      <c r="M181" s="658">
        <f t="shared" si="3"/>
        <v>1400.0000000000002</v>
      </c>
      <c r="N181" s="657"/>
      <c r="O181" s="559"/>
      <c r="P181" s="559"/>
      <c r="T181" s="564"/>
      <c r="X181" s="564"/>
      <c r="Z181" s="564"/>
      <c r="AA181" s="564"/>
      <c r="AD181" s="564"/>
      <c r="AE181" s="564"/>
      <c r="AQ181" s="564"/>
      <c r="AZ181" s="564"/>
      <c r="BC181" s="564"/>
      <c r="BF181" s="564"/>
    </row>
    <row r="182" spans="3:58" s="561" customFormat="1" ht="15" customHeight="1">
      <c r="C182" s="587"/>
      <c r="D182" s="686"/>
      <c r="E182" s="588" t="s">
        <v>43</v>
      </c>
      <c r="F182" s="595"/>
      <c r="G182" s="590"/>
      <c r="H182" s="591"/>
      <c r="I182" s="592"/>
      <c r="J182" s="651"/>
      <c r="K182" s="598">
        <v>0.62</v>
      </c>
      <c r="L182" s="658">
        <f>Bhn!$M$23</f>
        <v>30000</v>
      </c>
      <c r="M182" s="658">
        <f t="shared" si="3"/>
        <v>18600</v>
      </c>
      <c r="N182" s="657"/>
      <c r="O182" s="559"/>
      <c r="P182" s="559"/>
      <c r="T182" s="564"/>
      <c r="X182" s="564"/>
      <c r="Z182" s="564"/>
      <c r="AA182" s="564"/>
      <c r="AB182" s="564"/>
      <c r="AD182" s="564"/>
      <c r="AE182" s="564"/>
      <c r="AQ182" s="564"/>
      <c r="AV182" s="564"/>
      <c r="AZ182" s="564"/>
      <c r="BC182" s="564"/>
      <c r="BF182" s="564"/>
    </row>
    <row r="183" spans="3:58" s="561" customFormat="1" ht="15" customHeight="1">
      <c r="C183" s="587"/>
      <c r="D183" s="686"/>
      <c r="E183" s="588" t="s">
        <v>46</v>
      </c>
      <c r="F183" s="595"/>
      <c r="G183" s="590"/>
      <c r="H183" s="591"/>
      <c r="I183" s="592"/>
      <c r="J183" s="651"/>
      <c r="K183" s="598">
        <v>0.03</v>
      </c>
      <c r="L183" s="658">
        <f>Bhn!$M$24</f>
        <v>40000</v>
      </c>
      <c r="M183" s="658">
        <f t="shared" si="3"/>
        <v>1200</v>
      </c>
      <c r="N183" s="659"/>
      <c r="O183" s="576"/>
      <c r="P183" s="576"/>
      <c r="X183" s="564"/>
      <c r="AD183" s="564"/>
      <c r="AE183" s="564"/>
      <c r="AQ183" s="564"/>
      <c r="AV183" s="564"/>
      <c r="AZ183" s="564"/>
      <c r="BC183" s="564"/>
      <c r="BF183" s="564"/>
    </row>
    <row r="184" spans="3:58" s="561" customFormat="1" ht="15" customHeight="1">
      <c r="C184" s="587"/>
      <c r="D184" s="686"/>
      <c r="E184" s="588"/>
      <c r="F184" s="595"/>
      <c r="G184" s="590"/>
      <c r="H184" s="591"/>
      <c r="I184" s="592"/>
      <c r="J184" s="651"/>
      <c r="K184" s="598"/>
      <c r="L184" s="658"/>
      <c r="M184" s="658"/>
      <c r="N184" s="659"/>
      <c r="O184" s="576"/>
      <c r="P184" s="576"/>
      <c r="X184" s="564"/>
      <c r="AD184" s="564"/>
      <c r="AE184" s="564"/>
      <c r="AQ184" s="564"/>
      <c r="AV184" s="564"/>
      <c r="AZ184" s="564"/>
      <c r="BC184" s="564"/>
      <c r="BF184" s="564"/>
    </row>
    <row r="185" spans="3:58" s="578" customFormat="1" ht="15" customHeight="1">
      <c r="C185" s="694">
        <f>C166+1</f>
        <v>1</v>
      </c>
      <c r="D185" s="688"/>
      <c r="E185" s="687" t="s">
        <v>1245</v>
      </c>
      <c r="F185" s="691"/>
      <c r="G185" s="689"/>
      <c r="H185" s="693"/>
      <c r="I185" s="654" t="s">
        <v>7</v>
      </c>
      <c r="J185" s="652" t="s">
        <v>150</v>
      </c>
      <c r="K185" s="661"/>
      <c r="L185" s="657"/>
      <c r="M185" s="659"/>
      <c r="N185" s="657">
        <f>SUM(M186:M193)</f>
        <v>135758</v>
      </c>
      <c r="O185" s="560"/>
      <c r="P185" s="560"/>
      <c r="X185" s="580"/>
      <c r="Z185" s="580"/>
      <c r="AA185" s="580"/>
      <c r="AB185" s="580"/>
      <c r="AD185" s="580"/>
      <c r="AE185" s="580"/>
      <c r="AQ185" s="580"/>
      <c r="AV185" s="580"/>
      <c r="AZ185" s="580"/>
      <c r="BC185" s="580"/>
      <c r="BF185" s="580"/>
    </row>
    <row r="186" spans="3:55" s="561" customFormat="1" ht="15" customHeight="1">
      <c r="C186" s="587"/>
      <c r="D186" s="686"/>
      <c r="E186" s="588" t="s">
        <v>1246</v>
      </c>
      <c r="F186" s="595"/>
      <c r="G186" s="590"/>
      <c r="H186" s="591"/>
      <c r="I186" s="592"/>
      <c r="J186" s="593" t="s">
        <v>149</v>
      </c>
      <c r="K186" s="598">
        <v>1</v>
      </c>
      <c r="L186" s="658">
        <f>+Bhn!I107</f>
        <v>85000</v>
      </c>
      <c r="M186" s="658">
        <f aca="true" t="shared" si="4" ref="M186:M193">K186*L186</f>
        <v>85000</v>
      </c>
      <c r="N186" s="657"/>
      <c r="O186" s="559"/>
      <c r="P186" s="559"/>
      <c r="X186" s="564"/>
      <c r="Z186" s="564"/>
      <c r="AA186" s="564"/>
      <c r="AD186" s="564"/>
      <c r="AE186" s="564"/>
      <c r="AF186" s="564"/>
      <c r="AQ186" s="564"/>
      <c r="AV186" s="564"/>
      <c r="AZ186" s="564"/>
      <c r="BC186" s="564"/>
    </row>
    <row r="187" spans="3:27" s="561" customFormat="1" ht="15" customHeight="1">
      <c r="C187" s="587"/>
      <c r="D187" s="686"/>
      <c r="E187" s="588" t="s">
        <v>66</v>
      </c>
      <c r="F187" s="595"/>
      <c r="G187" s="590"/>
      <c r="H187" s="591"/>
      <c r="I187" s="592"/>
      <c r="J187" s="593" t="s">
        <v>140</v>
      </c>
      <c r="K187" s="598">
        <f>11.38/40</f>
        <v>0.28450000000000003</v>
      </c>
      <c r="L187" s="658">
        <f>Bhn!$M$44</f>
        <v>39000</v>
      </c>
      <c r="M187" s="658">
        <f t="shared" si="4"/>
        <v>11095.500000000002</v>
      </c>
      <c r="N187" s="657"/>
      <c r="O187" s="559"/>
      <c r="P187" s="559"/>
      <c r="X187" s="564"/>
      <c r="Z187" s="564"/>
      <c r="AA187" s="564"/>
    </row>
    <row r="188" spans="3:27" s="561" customFormat="1" ht="15" customHeight="1">
      <c r="C188" s="587"/>
      <c r="D188" s="686"/>
      <c r="E188" s="588" t="s">
        <v>60</v>
      </c>
      <c r="F188" s="595"/>
      <c r="G188" s="590"/>
      <c r="H188" s="591"/>
      <c r="I188" s="592"/>
      <c r="J188" s="593" t="s">
        <v>134</v>
      </c>
      <c r="K188" s="598">
        <v>0.042</v>
      </c>
      <c r="L188" s="658">
        <f>Bhn!$M$39</f>
        <v>100000</v>
      </c>
      <c r="M188" s="658">
        <f t="shared" si="4"/>
        <v>4200</v>
      </c>
      <c r="N188" s="657"/>
      <c r="O188" s="559"/>
      <c r="P188" s="559"/>
      <c r="X188" s="564"/>
      <c r="Z188" s="564"/>
      <c r="AA188" s="564"/>
    </row>
    <row r="189" spans="3:27" s="561" customFormat="1" ht="15" customHeight="1">
      <c r="C189" s="587"/>
      <c r="D189" s="686"/>
      <c r="E189" s="588" t="s">
        <v>68</v>
      </c>
      <c r="F189" s="595"/>
      <c r="G189" s="590"/>
      <c r="H189" s="591"/>
      <c r="I189" s="592"/>
      <c r="J189" s="593" t="s">
        <v>140</v>
      </c>
      <c r="K189" s="598">
        <f>1.5/40</f>
        <v>0.0375</v>
      </c>
      <c r="L189" s="658">
        <f>Bhn!$M$45</f>
        <v>7000</v>
      </c>
      <c r="M189" s="658">
        <f t="shared" si="4"/>
        <v>262.5</v>
      </c>
      <c r="N189" s="659"/>
      <c r="O189" s="576"/>
      <c r="P189" s="576"/>
      <c r="Z189" s="564"/>
      <c r="AA189" s="564"/>
    </row>
    <row r="190" spans="3:28" s="561" customFormat="1" ht="15" customHeight="1">
      <c r="C190" s="587"/>
      <c r="D190" s="686"/>
      <c r="E190" s="588" t="s">
        <v>47</v>
      </c>
      <c r="F190" s="595"/>
      <c r="G190" s="590"/>
      <c r="H190" s="591"/>
      <c r="I190" s="592"/>
      <c r="J190" s="651"/>
      <c r="K190" s="598">
        <v>0.35</v>
      </c>
      <c r="L190" s="658">
        <f>Bhn!$M$25</f>
        <v>40000</v>
      </c>
      <c r="M190" s="658">
        <f t="shared" si="4"/>
        <v>14000</v>
      </c>
      <c r="N190" s="657"/>
      <c r="O190" s="559"/>
      <c r="P190" s="559"/>
      <c r="Z190" s="564"/>
      <c r="AA190" s="564"/>
      <c r="AB190" s="564"/>
    </row>
    <row r="191" spans="3:24" s="561" customFormat="1" ht="15" customHeight="1">
      <c r="C191" s="587"/>
      <c r="D191" s="686"/>
      <c r="E191" s="588" t="s">
        <v>48</v>
      </c>
      <c r="F191" s="595"/>
      <c r="G191" s="590"/>
      <c r="H191" s="591"/>
      <c r="I191" s="592"/>
      <c r="J191" s="651"/>
      <c r="K191" s="598">
        <v>0.035</v>
      </c>
      <c r="L191" s="658">
        <f>Bhn!$M$26</f>
        <v>40000</v>
      </c>
      <c r="M191" s="658">
        <f t="shared" si="4"/>
        <v>1400.0000000000002</v>
      </c>
      <c r="N191" s="657"/>
      <c r="O191" s="559"/>
      <c r="P191" s="559"/>
      <c r="X191" s="564"/>
    </row>
    <row r="192" spans="3:16" s="561" customFormat="1" ht="15" customHeight="1">
      <c r="C192" s="587"/>
      <c r="D192" s="686"/>
      <c r="E192" s="588" t="s">
        <v>43</v>
      </c>
      <c r="F192" s="595"/>
      <c r="G192" s="590"/>
      <c r="H192" s="591"/>
      <c r="I192" s="592"/>
      <c r="J192" s="651"/>
      <c r="K192" s="598">
        <v>0.62</v>
      </c>
      <c r="L192" s="658">
        <f>Bhn!$M$23</f>
        <v>30000</v>
      </c>
      <c r="M192" s="658">
        <f t="shared" si="4"/>
        <v>18600</v>
      </c>
      <c r="N192" s="657"/>
      <c r="O192" s="559"/>
      <c r="P192" s="559"/>
    </row>
    <row r="193" spans="3:27" s="561" customFormat="1" ht="15" customHeight="1">
      <c r="C193" s="587"/>
      <c r="D193" s="686"/>
      <c r="E193" s="588" t="s">
        <v>46</v>
      </c>
      <c r="F193" s="595"/>
      <c r="G193" s="590"/>
      <c r="H193" s="591"/>
      <c r="I193" s="592"/>
      <c r="J193" s="651"/>
      <c r="K193" s="598">
        <v>0.03</v>
      </c>
      <c r="L193" s="658">
        <f>Bhn!$M$24</f>
        <v>40000</v>
      </c>
      <c r="M193" s="658">
        <f t="shared" si="4"/>
        <v>1200</v>
      </c>
      <c r="N193" s="659"/>
      <c r="O193" s="576"/>
      <c r="P193" s="576"/>
      <c r="Z193" s="564"/>
      <c r="AA193" s="564"/>
    </row>
    <row r="194" spans="3:27" s="561" customFormat="1" ht="15" customHeight="1">
      <c r="C194" s="587"/>
      <c r="D194" s="686"/>
      <c r="E194" s="588"/>
      <c r="F194" s="595"/>
      <c r="G194" s="590"/>
      <c r="H194" s="591"/>
      <c r="I194" s="592"/>
      <c r="J194" s="651"/>
      <c r="K194" s="598"/>
      <c r="L194" s="658"/>
      <c r="M194" s="658"/>
      <c r="N194" s="659"/>
      <c r="O194" s="576"/>
      <c r="P194" s="576"/>
      <c r="Z194" s="564"/>
      <c r="AA194" s="564"/>
    </row>
    <row r="195" spans="3:58" s="578" customFormat="1" ht="15" customHeight="1">
      <c r="C195" s="694">
        <f>C175+1</f>
        <v>23</v>
      </c>
      <c r="D195" s="688"/>
      <c r="E195" s="687" t="s">
        <v>1244</v>
      </c>
      <c r="F195" s="691"/>
      <c r="G195" s="689"/>
      <c r="H195" s="693"/>
      <c r="I195" s="654" t="s">
        <v>7</v>
      </c>
      <c r="J195" s="652" t="s">
        <v>150</v>
      </c>
      <c r="K195" s="661"/>
      <c r="L195" s="657"/>
      <c r="M195" s="659"/>
      <c r="N195" s="657">
        <f>SUM(M196:M203)</f>
        <v>95758</v>
      </c>
      <c r="O195" s="560"/>
      <c r="P195" s="560"/>
      <c r="X195" s="580"/>
      <c r="Z195" s="580"/>
      <c r="AA195" s="580"/>
      <c r="AB195" s="580"/>
      <c r="AD195" s="580"/>
      <c r="AE195" s="580"/>
      <c r="AQ195" s="580"/>
      <c r="AV195" s="580"/>
      <c r="AZ195" s="580"/>
      <c r="BC195" s="580"/>
      <c r="BF195" s="580"/>
    </row>
    <row r="196" spans="3:55" s="561" customFormat="1" ht="15" customHeight="1">
      <c r="C196" s="587"/>
      <c r="D196" s="686"/>
      <c r="E196" s="588" t="s">
        <v>97</v>
      </c>
      <c r="F196" s="595"/>
      <c r="G196" s="590"/>
      <c r="H196" s="591"/>
      <c r="I196" s="592"/>
      <c r="J196" s="593" t="s">
        <v>149</v>
      </c>
      <c r="K196" s="598">
        <v>1</v>
      </c>
      <c r="L196" s="658">
        <f>Bhn!M114</f>
        <v>45000</v>
      </c>
      <c r="M196" s="658">
        <f aca="true" t="shared" si="5" ref="M196:M203">K196*L196</f>
        <v>45000</v>
      </c>
      <c r="N196" s="657"/>
      <c r="O196" s="559"/>
      <c r="P196" s="559"/>
      <c r="X196" s="564"/>
      <c r="Z196" s="564"/>
      <c r="AA196" s="564"/>
      <c r="AD196" s="564"/>
      <c r="AE196" s="564"/>
      <c r="AF196" s="564"/>
      <c r="AQ196" s="564"/>
      <c r="AV196" s="564"/>
      <c r="AZ196" s="564"/>
      <c r="BC196" s="564"/>
    </row>
    <row r="197" spans="3:27" s="561" customFormat="1" ht="15" customHeight="1">
      <c r="C197" s="587"/>
      <c r="D197" s="686"/>
      <c r="E197" s="588" t="s">
        <v>66</v>
      </c>
      <c r="F197" s="595"/>
      <c r="G197" s="590"/>
      <c r="H197" s="591"/>
      <c r="I197" s="592"/>
      <c r="J197" s="593" t="s">
        <v>140</v>
      </c>
      <c r="K197" s="598">
        <f>11.38/40</f>
        <v>0.28450000000000003</v>
      </c>
      <c r="L197" s="658">
        <f>Bhn!$M$44</f>
        <v>39000</v>
      </c>
      <c r="M197" s="658">
        <f t="shared" si="5"/>
        <v>11095.500000000002</v>
      </c>
      <c r="N197" s="657"/>
      <c r="O197" s="559"/>
      <c r="P197" s="559"/>
      <c r="X197" s="564"/>
      <c r="Z197" s="564"/>
      <c r="AA197" s="564"/>
    </row>
    <row r="198" spans="3:27" s="561" customFormat="1" ht="15" customHeight="1">
      <c r="C198" s="587"/>
      <c r="D198" s="686"/>
      <c r="E198" s="588" t="s">
        <v>60</v>
      </c>
      <c r="F198" s="595"/>
      <c r="G198" s="590"/>
      <c r="H198" s="591"/>
      <c r="I198" s="592"/>
      <c r="J198" s="593" t="s">
        <v>134</v>
      </c>
      <c r="K198" s="598">
        <v>0.042</v>
      </c>
      <c r="L198" s="658">
        <f>Bhn!$M$39</f>
        <v>100000</v>
      </c>
      <c r="M198" s="658">
        <f t="shared" si="5"/>
        <v>4200</v>
      </c>
      <c r="N198" s="657"/>
      <c r="O198" s="559"/>
      <c r="P198" s="559"/>
      <c r="X198" s="564"/>
      <c r="Z198" s="564"/>
      <c r="AA198" s="564"/>
    </row>
    <row r="199" spans="3:27" s="561" customFormat="1" ht="15" customHeight="1">
      <c r="C199" s="587"/>
      <c r="D199" s="686"/>
      <c r="E199" s="588" t="s">
        <v>68</v>
      </c>
      <c r="F199" s="595"/>
      <c r="G199" s="590"/>
      <c r="H199" s="591"/>
      <c r="I199" s="592"/>
      <c r="J199" s="593" t="s">
        <v>140</v>
      </c>
      <c r="K199" s="598">
        <f>1.5/40</f>
        <v>0.0375</v>
      </c>
      <c r="L199" s="658">
        <f>Bhn!$M$45</f>
        <v>7000</v>
      </c>
      <c r="M199" s="658">
        <f t="shared" si="5"/>
        <v>262.5</v>
      </c>
      <c r="N199" s="659"/>
      <c r="O199" s="576"/>
      <c r="P199" s="576"/>
      <c r="Z199" s="564"/>
      <c r="AA199" s="564"/>
    </row>
    <row r="200" spans="3:28" s="561" customFormat="1" ht="15" customHeight="1">
      <c r="C200" s="587"/>
      <c r="D200" s="686"/>
      <c r="E200" s="588" t="s">
        <v>47</v>
      </c>
      <c r="F200" s="595"/>
      <c r="G200" s="590"/>
      <c r="H200" s="591"/>
      <c r="I200" s="592"/>
      <c r="J200" s="651"/>
      <c r="K200" s="598">
        <v>0.35</v>
      </c>
      <c r="L200" s="658">
        <f>Bhn!$M$25</f>
        <v>40000</v>
      </c>
      <c r="M200" s="658">
        <f t="shared" si="5"/>
        <v>14000</v>
      </c>
      <c r="N200" s="657"/>
      <c r="O200" s="559"/>
      <c r="P200" s="559"/>
      <c r="Z200" s="564"/>
      <c r="AA200" s="564"/>
      <c r="AB200" s="564"/>
    </row>
    <row r="201" spans="3:24" s="561" customFormat="1" ht="15" customHeight="1">
      <c r="C201" s="587"/>
      <c r="D201" s="686"/>
      <c r="E201" s="588" t="s">
        <v>48</v>
      </c>
      <c r="F201" s="595"/>
      <c r="G201" s="590"/>
      <c r="H201" s="591"/>
      <c r="I201" s="592"/>
      <c r="J201" s="651"/>
      <c r="K201" s="598">
        <v>0.035</v>
      </c>
      <c r="L201" s="658">
        <f>Bhn!$M$26</f>
        <v>40000</v>
      </c>
      <c r="M201" s="658">
        <f t="shared" si="5"/>
        <v>1400.0000000000002</v>
      </c>
      <c r="N201" s="657"/>
      <c r="O201" s="559"/>
      <c r="P201" s="559"/>
      <c r="X201" s="564"/>
    </row>
    <row r="202" spans="3:16" s="561" customFormat="1" ht="15" customHeight="1">
      <c r="C202" s="587"/>
      <c r="D202" s="686"/>
      <c r="E202" s="588" t="s">
        <v>43</v>
      </c>
      <c r="F202" s="595"/>
      <c r="G202" s="590"/>
      <c r="H202" s="591"/>
      <c r="I202" s="592"/>
      <c r="J202" s="651"/>
      <c r="K202" s="598">
        <v>0.62</v>
      </c>
      <c r="L202" s="658">
        <f>Bhn!$M$23</f>
        <v>30000</v>
      </c>
      <c r="M202" s="658">
        <f t="shared" si="5"/>
        <v>18600</v>
      </c>
      <c r="N202" s="657"/>
      <c r="O202" s="559"/>
      <c r="P202" s="559"/>
    </row>
    <row r="203" spans="3:27" s="561" customFormat="1" ht="15" customHeight="1">
      <c r="C203" s="587"/>
      <c r="D203" s="686"/>
      <c r="E203" s="588" t="s">
        <v>46</v>
      </c>
      <c r="F203" s="595"/>
      <c r="G203" s="590"/>
      <c r="H203" s="591"/>
      <c r="I203" s="592"/>
      <c r="J203" s="651"/>
      <c r="K203" s="598">
        <v>0.03</v>
      </c>
      <c r="L203" s="658">
        <f>Bhn!$M$24</f>
        <v>40000</v>
      </c>
      <c r="M203" s="658">
        <f t="shared" si="5"/>
        <v>1200</v>
      </c>
      <c r="N203" s="659"/>
      <c r="O203" s="576"/>
      <c r="P203" s="576"/>
      <c r="Z203" s="564"/>
      <c r="AA203" s="564"/>
    </row>
    <row r="204" spans="3:27" s="561" customFormat="1" ht="15" customHeight="1">
      <c r="C204" s="587"/>
      <c r="D204" s="686"/>
      <c r="E204" s="588"/>
      <c r="F204" s="595"/>
      <c r="G204" s="590"/>
      <c r="H204" s="591"/>
      <c r="I204" s="592"/>
      <c r="J204" s="651"/>
      <c r="K204" s="598"/>
      <c r="L204" s="658"/>
      <c r="M204" s="658"/>
      <c r="N204" s="659"/>
      <c r="O204" s="576"/>
      <c r="P204" s="576"/>
      <c r="Z204" s="564"/>
      <c r="AA204" s="564"/>
    </row>
    <row r="205" spans="3:27" s="561" customFormat="1" ht="15" customHeight="1">
      <c r="C205" s="694">
        <f>C195+1</f>
        <v>24</v>
      </c>
      <c r="D205" s="686"/>
      <c r="E205" s="687" t="s">
        <v>735</v>
      </c>
      <c r="F205" s="691"/>
      <c r="G205" s="689" t="s">
        <v>1077</v>
      </c>
      <c r="H205" s="693"/>
      <c r="I205" s="654" t="s">
        <v>7</v>
      </c>
      <c r="J205" s="652" t="s">
        <v>150</v>
      </c>
      <c r="K205" s="661"/>
      <c r="L205" s="657"/>
      <c r="M205" s="659"/>
      <c r="N205" s="657">
        <f>SUM(M206:M213)</f>
        <v>195758</v>
      </c>
      <c r="O205" s="576"/>
      <c r="P205" s="576"/>
      <c r="Z205" s="564"/>
      <c r="AA205" s="564"/>
    </row>
    <row r="206" spans="3:27" s="561" customFormat="1" ht="15" customHeight="1">
      <c r="C206" s="587"/>
      <c r="D206" s="686"/>
      <c r="E206" s="595" t="s">
        <v>893</v>
      </c>
      <c r="F206" s="595"/>
      <c r="G206" s="590"/>
      <c r="H206" s="591"/>
      <c r="I206" s="592"/>
      <c r="J206" s="593" t="s">
        <v>149</v>
      </c>
      <c r="K206" s="598">
        <v>1</v>
      </c>
      <c r="L206" s="658">
        <f>Bhn!M109</f>
        <v>145000</v>
      </c>
      <c r="M206" s="658">
        <f aca="true" t="shared" si="6" ref="M206:M213">K206*L206</f>
        <v>145000</v>
      </c>
      <c r="N206" s="657"/>
      <c r="O206" s="576"/>
      <c r="P206" s="576"/>
      <c r="Z206" s="564"/>
      <c r="AA206" s="564"/>
    </row>
    <row r="207" spans="3:27" s="561" customFormat="1" ht="15" customHeight="1">
      <c r="C207" s="587"/>
      <c r="D207" s="686"/>
      <c r="E207" s="588" t="s">
        <v>66</v>
      </c>
      <c r="F207" s="595"/>
      <c r="G207" s="590"/>
      <c r="H207" s="591"/>
      <c r="I207" s="592"/>
      <c r="J207" s="593" t="s">
        <v>140</v>
      </c>
      <c r="K207" s="598">
        <f>11.38/40</f>
        <v>0.28450000000000003</v>
      </c>
      <c r="L207" s="658">
        <f>Bhn!$M$44</f>
        <v>39000</v>
      </c>
      <c r="M207" s="658">
        <f t="shared" si="6"/>
        <v>11095.500000000002</v>
      </c>
      <c r="N207" s="657"/>
      <c r="O207" s="576"/>
      <c r="P207" s="576"/>
      <c r="Z207" s="564"/>
      <c r="AA207" s="564"/>
    </row>
    <row r="208" spans="3:27" s="561" customFormat="1" ht="15" customHeight="1">
      <c r="C208" s="587"/>
      <c r="D208" s="686"/>
      <c r="E208" s="588" t="s">
        <v>60</v>
      </c>
      <c r="F208" s="595"/>
      <c r="G208" s="590"/>
      <c r="H208" s="591"/>
      <c r="I208" s="592"/>
      <c r="J208" s="593" t="s">
        <v>134</v>
      </c>
      <c r="K208" s="598">
        <v>0.042</v>
      </c>
      <c r="L208" s="658">
        <f>Bhn!$M$39</f>
        <v>100000</v>
      </c>
      <c r="M208" s="658">
        <f t="shared" si="6"/>
        <v>4200</v>
      </c>
      <c r="N208" s="657"/>
      <c r="O208" s="576"/>
      <c r="P208" s="576"/>
      <c r="Z208" s="564"/>
      <c r="AA208" s="564"/>
    </row>
    <row r="209" spans="3:27" s="561" customFormat="1" ht="15" customHeight="1">
      <c r="C209" s="587"/>
      <c r="D209" s="686"/>
      <c r="E209" s="588" t="s">
        <v>68</v>
      </c>
      <c r="F209" s="595"/>
      <c r="G209" s="590"/>
      <c r="H209" s="591"/>
      <c r="I209" s="592"/>
      <c r="J209" s="593" t="s">
        <v>140</v>
      </c>
      <c r="K209" s="598">
        <f>1.5/40</f>
        <v>0.0375</v>
      </c>
      <c r="L209" s="658">
        <f>Bhn!$M$45</f>
        <v>7000</v>
      </c>
      <c r="M209" s="658">
        <f t="shared" si="6"/>
        <v>262.5</v>
      </c>
      <c r="N209" s="659"/>
      <c r="O209" s="576"/>
      <c r="P209" s="576"/>
      <c r="Z209" s="564"/>
      <c r="AA209" s="564"/>
    </row>
    <row r="210" spans="3:27" s="561" customFormat="1" ht="15" customHeight="1">
      <c r="C210" s="587"/>
      <c r="D210" s="686"/>
      <c r="E210" s="588" t="s">
        <v>47</v>
      </c>
      <c r="F210" s="595"/>
      <c r="G210" s="590"/>
      <c r="H210" s="591"/>
      <c r="I210" s="592"/>
      <c r="J210" s="651"/>
      <c r="K210" s="598">
        <v>0.35</v>
      </c>
      <c r="L210" s="658">
        <f>Bhn!$M$25</f>
        <v>40000</v>
      </c>
      <c r="M210" s="658">
        <f t="shared" si="6"/>
        <v>14000</v>
      </c>
      <c r="N210" s="657"/>
      <c r="O210" s="576"/>
      <c r="P210" s="576"/>
      <c r="Z210" s="564"/>
      <c r="AA210" s="564"/>
    </row>
    <row r="211" spans="3:27" s="561" customFormat="1" ht="15" customHeight="1">
      <c r="C211" s="587"/>
      <c r="D211" s="686"/>
      <c r="E211" s="588" t="s">
        <v>48</v>
      </c>
      <c r="F211" s="595"/>
      <c r="G211" s="590"/>
      <c r="H211" s="591"/>
      <c r="I211" s="592"/>
      <c r="J211" s="651"/>
      <c r="K211" s="598">
        <v>0.035</v>
      </c>
      <c r="L211" s="658">
        <f>Bhn!$M$26</f>
        <v>40000</v>
      </c>
      <c r="M211" s="658">
        <f t="shared" si="6"/>
        <v>1400.0000000000002</v>
      </c>
      <c r="N211" s="657"/>
      <c r="O211" s="576"/>
      <c r="P211" s="576"/>
      <c r="Z211" s="564"/>
      <c r="AA211" s="564"/>
    </row>
    <row r="212" spans="3:27" s="561" customFormat="1" ht="15" customHeight="1">
      <c r="C212" s="587"/>
      <c r="D212" s="686"/>
      <c r="E212" s="588" t="s">
        <v>43</v>
      </c>
      <c r="F212" s="595"/>
      <c r="G212" s="590"/>
      <c r="H212" s="591"/>
      <c r="I212" s="592"/>
      <c r="J212" s="651"/>
      <c r="K212" s="598">
        <v>0.62</v>
      </c>
      <c r="L212" s="658">
        <f>Bhn!$M$23</f>
        <v>30000</v>
      </c>
      <c r="M212" s="658">
        <f t="shared" si="6"/>
        <v>18600</v>
      </c>
      <c r="N212" s="657"/>
      <c r="O212" s="576"/>
      <c r="P212" s="576"/>
      <c r="Z212" s="564"/>
      <c r="AA212" s="564"/>
    </row>
    <row r="213" spans="3:27" s="561" customFormat="1" ht="15" customHeight="1">
      <c r="C213" s="587"/>
      <c r="D213" s="686"/>
      <c r="E213" s="588" t="s">
        <v>46</v>
      </c>
      <c r="F213" s="595"/>
      <c r="G213" s="590"/>
      <c r="H213" s="591"/>
      <c r="I213" s="592"/>
      <c r="J213" s="651"/>
      <c r="K213" s="598">
        <v>0.03</v>
      </c>
      <c r="L213" s="658">
        <f>Bhn!$M$24</f>
        <v>40000</v>
      </c>
      <c r="M213" s="658">
        <f t="shared" si="6"/>
        <v>1200</v>
      </c>
      <c r="N213" s="659"/>
      <c r="O213" s="576"/>
      <c r="P213" s="576"/>
      <c r="Z213" s="564"/>
      <c r="AA213" s="564"/>
    </row>
    <row r="214" spans="3:27" s="561" customFormat="1" ht="15" customHeight="1">
      <c r="C214" s="694">
        <f>+C205+1</f>
        <v>25</v>
      </c>
      <c r="D214" s="686"/>
      <c r="E214" s="687" t="s">
        <v>894</v>
      </c>
      <c r="F214" s="691"/>
      <c r="G214" s="689"/>
      <c r="H214" s="693"/>
      <c r="I214" s="654" t="s">
        <v>7</v>
      </c>
      <c r="J214" s="655" t="s">
        <v>896</v>
      </c>
      <c r="K214" s="661"/>
      <c r="L214" s="657"/>
      <c r="M214" s="659"/>
      <c r="N214" s="657">
        <f>SUM(M215:M222)</f>
        <v>215758</v>
      </c>
      <c r="O214" s="576"/>
      <c r="P214" s="576"/>
      <c r="Z214" s="564"/>
      <c r="AA214" s="564"/>
    </row>
    <row r="215" spans="3:27" s="561" customFormat="1" ht="15" customHeight="1">
      <c r="C215" s="587"/>
      <c r="D215" s="686"/>
      <c r="E215" s="595" t="s">
        <v>899</v>
      </c>
      <c r="F215" s="595"/>
      <c r="G215" s="590"/>
      <c r="H215" s="591"/>
      <c r="I215" s="592"/>
      <c r="J215" s="593" t="s">
        <v>149</v>
      </c>
      <c r="K215" s="598">
        <v>1</v>
      </c>
      <c r="L215" s="658">
        <f>Bhn!M110</f>
        <v>165000</v>
      </c>
      <c r="M215" s="658">
        <f aca="true" t="shared" si="7" ref="M215:M222">K215*L215</f>
        <v>165000</v>
      </c>
      <c r="N215" s="657"/>
      <c r="O215" s="576"/>
      <c r="P215" s="576"/>
      <c r="Z215" s="564"/>
      <c r="AA215" s="564"/>
    </row>
    <row r="216" spans="3:27" s="561" customFormat="1" ht="15" customHeight="1">
      <c r="C216" s="587"/>
      <c r="D216" s="686"/>
      <c r="E216" s="588" t="s">
        <v>66</v>
      </c>
      <c r="F216" s="595"/>
      <c r="G216" s="590"/>
      <c r="H216" s="591"/>
      <c r="I216" s="592"/>
      <c r="J216" s="593" t="s">
        <v>140</v>
      </c>
      <c r="K216" s="598">
        <f>11.38/40</f>
        <v>0.28450000000000003</v>
      </c>
      <c r="L216" s="658">
        <f>Bhn!$M$44</f>
        <v>39000</v>
      </c>
      <c r="M216" s="658">
        <f t="shared" si="7"/>
        <v>11095.500000000002</v>
      </c>
      <c r="N216" s="657"/>
      <c r="O216" s="576"/>
      <c r="P216" s="576"/>
      <c r="Z216" s="564"/>
      <c r="AA216" s="564"/>
    </row>
    <row r="217" spans="3:27" s="561" customFormat="1" ht="15" customHeight="1">
      <c r="C217" s="587"/>
      <c r="D217" s="686"/>
      <c r="E217" s="588" t="s">
        <v>60</v>
      </c>
      <c r="F217" s="595"/>
      <c r="G217" s="590"/>
      <c r="H217" s="591"/>
      <c r="I217" s="592"/>
      <c r="J217" s="593" t="s">
        <v>134</v>
      </c>
      <c r="K217" s="598">
        <v>0.042</v>
      </c>
      <c r="L217" s="658">
        <f>Bhn!$M$39</f>
        <v>100000</v>
      </c>
      <c r="M217" s="658">
        <f t="shared" si="7"/>
        <v>4200</v>
      </c>
      <c r="N217" s="657"/>
      <c r="O217" s="576"/>
      <c r="P217" s="576"/>
      <c r="Z217" s="564"/>
      <c r="AA217" s="564"/>
    </row>
    <row r="218" spans="3:27" s="561" customFormat="1" ht="15" customHeight="1">
      <c r="C218" s="587"/>
      <c r="D218" s="686"/>
      <c r="E218" s="588" t="s">
        <v>68</v>
      </c>
      <c r="F218" s="595"/>
      <c r="G218" s="590"/>
      <c r="H218" s="591"/>
      <c r="I218" s="592"/>
      <c r="J218" s="593" t="s">
        <v>140</v>
      </c>
      <c r="K218" s="598">
        <f>1.5/40</f>
        <v>0.0375</v>
      </c>
      <c r="L218" s="658">
        <f>Bhn!$M$45</f>
        <v>7000</v>
      </c>
      <c r="M218" s="658">
        <f t="shared" si="7"/>
        <v>262.5</v>
      </c>
      <c r="N218" s="659"/>
      <c r="O218" s="576"/>
      <c r="P218" s="576"/>
      <c r="Z218" s="564"/>
      <c r="AA218" s="564"/>
    </row>
    <row r="219" spans="3:27" s="561" customFormat="1" ht="15" customHeight="1">
      <c r="C219" s="587"/>
      <c r="D219" s="686"/>
      <c r="E219" s="588" t="s">
        <v>47</v>
      </c>
      <c r="F219" s="595"/>
      <c r="G219" s="590"/>
      <c r="H219" s="591"/>
      <c r="I219" s="592"/>
      <c r="J219" s="651"/>
      <c r="K219" s="598">
        <v>0.35</v>
      </c>
      <c r="L219" s="658">
        <f>Bhn!$M$25</f>
        <v>40000</v>
      </c>
      <c r="M219" s="658">
        <f t="shared" si="7"/>
        <v>14000</v>
      </c>
      <c r="N219" s="657"/>
      <c r="O219" s="576"/>
      <c r="P219" s="576"/>
      <c r="Z219" s="564"/>
      <c r="AA219" s="564"/>
    </row>
    <row r="220" spans="3:27" s="561" customFormat="1" ht="15" customHeight="1">
      <c r="C220" s="587"/>
      <c r="D220" s="686"/>
      <c r="E220" s="588" t="s">
        <v>48</v>
      </c>
      <c r="F220" s="595"/>
      <c r="G220" s="590"/>
      <c r="H220" s="591"/>
      <c r="I220" s="592"/>
      <c r="J220" s="651"/>
      <c r="K220" s="598">
        <v>0.035</v>
      </c>
      <c r="L220" s="658">
        <f>Bhn!$M$26</f>
        <v>40000</v>
      </c>
      <c r="M220" s="658">
        <f t="shared" si="7"/>
        <v>1400.0000000000002</v>
      </c>
      <c r="N220" s="657"/>
      <c r="O220" s="576"/>
      <c r="P220" s="576"/>
      <c r="Z220" s="564"/>
      <c r="AA220" s="564"/>
    </row>
    <row r="221" spans="3:27" s="561" customFormat="1" ht="15" customHeight="1">
      <c r="C221" s="587"/>
      <c r="D221" s="686"/>
      <c r="E221" s="588" t="s">
        <v>43</v>
      </c>
      <c r="F221" s="595"/>
      <c r="G221" s="590"/>
      <c r="H221" s="591"/>
      <c r="I221" s="592"/>
      <c r="J221" s="651"/>
      <c r="K221" s="598">
        <v>0.62</v>
      </c>
      <c r="L221" s="658">
        <f>Bhn!$M$23</f>
        <v>30000</v>
      </c>
      <c r="M221" s="658">
        <f t="shared" si="7"/>
        <v>18600</v>
      </c>
      <c r="N221" s="657"/>
      <c r="O221" s="576"/>
      <c r="P221" s="576"/>
      <c r="Z221" s="564"/>
      <c r="AA221" s="564"/>
    </row>
    <row r="222" spans="3:27" s="561" customFormat="1" ht="15" customHeight="1">
      <c r="C222" s="587"/>
      <c r="D222" s="686"/>
      <c r="E222" s="588" t="s">
        <v>46</v>
      </c>
      <c r="F222" s="595"/>
      <c r="G222" s="590"/>
      <c r="H222" s="591"/>
      <c r="I222" s="592"/>
      <c r="J222" s="651"/>
      <c r="K222" s="598">
        <v>0.03</v>
      </c>
      <c r="L222" s="658">
        <f>Bhn!$M$24</f>
        <v>40000</v>
      </c>
      <c r="M222" s="658">
        <f t="shared" si="7"/>
        <v>1200</v>
      </c>
      <c r="N222" s="659"/>
      <c r="O222" s="576"/>
      <c r="P222" s="576"/>
      <c r="Z222" s="564"/>
      <c r="AA222" s="564"/>
    </row>
    <row r="223" spans="3:27" s="561" customFormat="1" ht="15" customHeight="1">
      <c r="C223" s="587"/>
      <c r="D223" s="686"/>
      <c r="E223" s="588"/>
      <c r="F223" s="595"/>
      <c r="G223" s="590"/>
      <c r="H223" s="591"/>
      <c r="I223" s="592"/>
      <c r="J223" s="651"/>
      <c r="K223" s="598"/>
      <c r="L223" s="658"/>
      <c r="M223" s="658"/>
      <c r="N223" s="659"/>
      <c r="O223" s="576"/>
      <c r="P223" s="576"/>
      <c r="Z223" s="564"/>
      <c r="AA223" s="564"/>
    </row>
    <row r="224" spans="3:27" s="561" customFormat="1" ht="15" customHeight="1">
      <c r="C224" s="587">
        <f>+C214+1</f>
        <v>26</v>
      </c>
      <c r="D224" s="686"/>
      <c r="E224" s="687" t="s">
        <v>894</v>
      </c>
      <c r="F224" s="691"/>
      <c r="G224" s="689"/>
      <c r="H224" s="693"/>
      <c r="I224" s="654" t="s">
        <v>7</v>
      </c>
      <c r="J224" s="655" t="s">
        <v>895</v>
      </c>
      <c r="K224" s="661"/>
      <c r="L224" s="657"/>
      <c r="M224" s="659"/>
      <c r="N224" s="657">
        <f>N214/10</f>
        <v>21575.8</v>
      </c>
      <c r="O224" s="576"/>
      <c r="P224" s="576"/>
      <c r="Z224" s="564"/>
      <c r="AA224" s="564"/>
    </row>
    <row r="225" spans="3:27" s="561" customFormat="1" ht="15" customHeight="1">
      <c r="C225" s="587"/>
      <c r="D225" s="686"/>
      <c r="E225" s="588"/>
      <c r="F225" s="595"/>
      <c r="G225" s="590"/>
      <c r="H225" s="591"/>
      <c r="I225" s="592"/>
      <c r="J225" s="651"/>
      <c r="K225" s="598"/>
      <c r="L225" s="658"/>
      <c r="M225" s="658"/>
      <c r="N225" s="659"/>
      <c r="O225" s="576"/>
      <c r="P225" s="576"/>
      <c r="Z225" s="564"/>
      <c r="AA225" s="564"/>
    </row>
    <row r="226" spans="3:27" s="578" customFormat="1" ht="15" customHeight="1">
      <c r="C226" s="694">
        <f>+C224+1</f>
        <v>27</v>
      </c>
      <c r="D226" s="688"/>
      <c r="E226" s="687" t="s">
        <v>735</v>
      </c>
      <c r="F226" s="691"/>
      <c r="G226" s="689"/>
      <c r="H226" s="693"/>
      <c r="I226" s="654" t="s">
        <v>7</v>
      </c>
      <c r="J226" s="652" t="s">
        <v>150</v>
      </c>
      <c r="K226" s="661"/>
      <c r="L226" s="657"/>
      <c r="M226" s="659"/>
      <c r="N226" s="657">
        <f>SUM(M227:M234)</f>
        <v>135758</v>
      </c>
      <c r="O226" s="579"/>
      <c r="P226" s="579"/>
      <c r="Z226" s="580"/>
      <c r="AA226" s="580"/>
    </row>
    <row r="227" spans="3:27" s="561" customFormat="1" ht="15" customHeight="1">
      <c r="C227" s="587"/>
      <c r="D227" s="686"/>
      <c r="E227" s="595" t="s">
        <v>1073</v>
      </c>
      <c r="F227" s="595"/>
      <c r="G227" s="590" t="s">
        <v>1074</v>
      </c>
      <c r="H227" s="591"/>
      <c r="I227" s="592"/>
      <c r="J227" s="593" t="s">
        <v>149</v>
      </c>
      <c r="K227" s="598">
        <v>1</v>
      </c>
      <c r="L227" s="658">
        <f>Bhn!$M$107</f>
        <v>85000</v>
      </c>
      <c r="M227" s="658">
        <f aca="true" t="shared" si="8" ref="M227:M234">K227*L227</f>
        <v>85000</v>
      </c>
      <c r="N227" s="657"/>
      <c r="O227" s="576"/>
      <c r="P227" s="576"/>
      <c r="Z227" s="564"/>
      <c r="AA227" s="564"/>
    </row>
    <row r="228" spans="3:27" s="561" customFormat="1" ht="15" customHeight="1">
      <c r="C228" s="587"/>
      <c r="D228" s="686"/>
      <c r="E228" s="588" t="s">
        <v>66</v>
      </c>
      <c r="F228" s="595"/>
      <c r="G228" s="590"/>
      <c r="H228" s="591"/>
      <c r="I228" s="592"/>
      <c r="J228" s="593" t="s">
        <v>140</v>
      </c>
      <c r="K228" s="598">
        <f>11.38/40</f>
        <v>0.28450000000000003</v>
      </c>
      <c r="L228" s="658">
        <f>Bhn!$M$44</f>
        <v>39000</v>
      </c>
      <c r="M228" s="658">
        <f t="shared" si="8"/>
        <v>11095.500000000002</v>
      </c>
      <c r="N228" s="657"/>
      <c r="O228" s="576"/>
      <c r="P228" s="576"/>
      <c r="Z228" s="564"/>
      <c r="AA228" s="564"/>
    </row>
    <row r="229" spans="3:27" s="561" customFormat="1" ht="15" customHeight="1">
      <c r="C229" s="587"/>
      <c r="D229" s="686"/>
      <c r="E229" s="588" t="s">
        <v>60</v>
      </c>
      <c r="F229" s="595"/>
      <c r="G229" s="590"/>
      <c r="H229" s="591"/>
      <c r="I229" s="592"/>
      <c r="J229" s="593" t="s">
        <v>134</v>
      </c>
      <c r="K229" s="598">
        <v>0.042</v>
      </c>
      <c r="L229" s="658">
        <f>Bhn!$M$39</f>
        <v>100000</v>
      </c>
      <c r="M229" s="658">
        <f t="shared" si="8"/>
        <v>4200</v>
      </c>
      <c r="N229" s="657"/>
      <c r="O229" s="576"/>
      <c r="P229" s="576"/>
      <c r="Z229" s="564"/>
      <c r="AA229" s="564"/>
    </row>
    <row r="230" spans="3:27" s="561" customFormat="1" ht="15" customHeight="1">
      <c r="C230" s="587"/>
      <c r="D230" s="686"/>
      <c r="E230" s="588" t="s">
        <v>68</v>
      </c>
      <c r="F230" s="595"/>
      <c r="G230" s="590"/>
      <c r="H230" s="591"/>
      <c r="I230" s="592"/>
      <c r="J230" s="593" t="s">
        <v>140</v>
      </c>
      <c r="K230" s="598">
        <f>1.5/40</f>
        <v>0.0375</v>
      </c>
      <c r="L230" s="658">
        <f>Bhn!$M$45</f>
        <v>7000</v>
      </c>
      <c r="M230" s="658">
        <f t="shared" si="8"/>
        <v>262.5</v>
      </c>
      <c r="N230" s="659"/>
      <c r="O230" s="576"/>
      <c r="P230" s="576"/>
      <c r="Z230" s="564"/>
      <c r="AA230" s="564"/>
    </row>
    <row r="231" spans="3:27" s="561" customFormat="1" ht="15" customHeight="1">
      <c r="C231" s="587"/>
      <c r="D231" s="686"/>
      <c r="E231" s="588" t="s">
        <v>47</v>
      </c>
      <c r="F231" s="595"/>
      <c r="G231" s="590"/>
      <c r="H231" s="591"/>
      <c r="I231" s="592"/>
      <c r="J231" s="651"/>
      <c r="K231" s="598">
        <v>0.35</v>
      </c>
      <c r="L231" s="658">
        <f>Bhn!$M$25</f>
        <v>40000</v>
      </c>
      <c r="M231" s="658">
        <f t="shared" si="8"/>
        <v>14000</v>
      </c>
      <c r="N231" s="657"/>
      <c r="O231" s="576"/>
      <c r="P231" s="576"/>
      <c r="Z231" s="564"/>
      <c r="AA231" s="564"/>
    </row>
    <row r="232" spans="3:27" s="561" customFormat="1" ht="15" customHeight="1">
      <c r="C232" s="587"/>
      <c r="D232" s="686"/>
      <c r="E232" s="588" t="s">
        <v>48</v>
      </c>
      <c r="F232" s="595"/>
      <c r="G232" s="590"/>
      <c r="H232" s="591"/>
      <c r="I232" s="592"/>
      <c r="J232" s="651"/>
      <c r="K232" s="598">
        <v>0.035</v>
      </c>
      <c r="L232" s="658">
        <f>Bhn!$M$26</f>
        <v>40000</v>
      </c>
      <c r="M232" s="658">
        <f t="shared" si="8"/>
        <v>1400.0000000000002</v>
      </c>
      <c r="N232" s="657"/>
      <c r="O232" s="576"/>
      <c r="P232" s="576"/>
      <c r="Z232" s="564"/>
      <c r="AA232" s="564"/>
    </row>
    <row r="233" spans="3:27" s="561" customFormat="1" ht="15" customHeight="1">
      <c r="C233" s="587"/>
      <c r="D233" s="686"/>
      <c r="E233" s="588" t="s">
        <v>43</v>
      </c>
      <c r="F233" s="595"/>
      <c r="G233" s="590"/>
      <c r="H233" s="591"/>
      <c r="I233" s="592"/>
      <c r="J233" s="651"/>
      <c r="K233" s="598">
        <v>0.62</v>
      </c>
      <c r="L233" s="658">
        <f>Bhn!$M$23</f>
        <v>30000</v>
      </c>
      <c r="M233" s="658">
        <f t="shared" si="8"/>
        <v>18600</v>
      </c>
      <c r="N233" s="657"/>
      <c r="O233" s="576"/>
      <c r="P233" s="576"/>
      <c r="Z233" s="564"/>
      <c r="AA233" s="564"/>
    </row>
    <row r="234" spans="3:27" s="561" customFormat="1" ht="15" customHeight="1">
      <c r="C234" s="587"/>
      <c r="D234" s="686"/>
      <c r="E234" s="588" t="s">
        <v>46</v>
      </c>
      <c r="F234" s="595"/>
      <c r="G234" s="590"/>
      <c r="H234" s="591"/>
      <c r="I234" s="592"/>
      <c r="J234" s="651"/>
      <c r="K234" s="598">
        <v>0.03</v>
      </c>
      <c r="L234" s="658">
        <f>Bhn!$M$24</f>
        <v>40000</v>
      </c>
      <c r="M234" s="658">
        <f t="shared" si="8"/>
        <v>1200</v>
      </c>
      <c r="N234" s="659"/>
      <c r="O234" s="576"/>
      <c r="P234" s="576"/>
      <c r="Z234" s="564"/>
      <c r="AA234" s="564"/>
    </row>
    <row r="235" spans="3:27" s="561" customFormat="1" ht="15" customHeight="1">
      <c r="C235" s="587"/>
      <c r="D235" s="686"/>
      <c r="E235" s="588"/>
      <c r="F235" s="595"/>
      <c r="G235" s="590"/>
      <c r="H235" s="591"/>
      <c r="I235" s="592"/>
      <c r="J235" s="651"/>
      <c r="K235" s="598"/>
      <c r="L235" s="658"/>
      <c r="M235" s="658"/>
      <c r="N235" s="659"/>
      <c r="O235" s="576"/>
      <c r="P235" s="576"/>
      <c r="Z235" s="564"/>
      <c r="AA235" s="564"/>
    </row>
    <row r="236" spans="3:27" s="578" customFormat="1" ht="15" customHeight="1">
      <c r="C236" s="694">
        <f>+C226+1</f>
        <v>28</v>
      </c>
      <c r="D236" s="688"/>
      <c r="E236" s="687" t="s">
        <v>1078</v>
      </c>
      <c r="F236" s="691"/>
      <c r="G236" s="689"/>
      <c r="H236" s="693"/>
      <c r="I236" s="654" t="s">
        <v>7</v>
      </c>
      <c r="J236" s="655" t="s">
        <v>896</v>
      </c>
      <c r="K236" s="661"/>
      <c r="L236" s="657"/>
      <c r="M236" s="659"/>
      <c r="N236" s="657">
        <f>SUM(M237:M244)</f>
        <v>170758</v>
      </c>
      <c r="O236" s="579"/>
      <c r="P236" s="579"/>
      <c r="Z236" s="580"/>
      <c r="AA236" s="580"/>
    </row>
    <row r="237" spans="3:27" s="561" customFormat="1" ht="15" customHeight="1">
      <c r="C237" s="587"/>
      <c r="D237" s="686"/>
      <c r="E237" s="595" t="s">
        <v>1073</v>
      </c>
      <c r="F237" s="595"/>
      <c r="G237" s="590" t="s">
        <v>1074</v>
      </c>
      <c r="H237" s="591"/>
      <c r="I237" s="592"/>
      <c r="J237" s="593" t="s">
        <v>149</v>
      </c>
      <c r="K237" s="598">
        <v>1</v>
      </c>
      <c r="L237" s="658">
        <f>Bhn!M108</f>
        <v>120000</v>
      </c>
      <c r="M237" s="658">
        <f aca="true" t="shared" si="9" ref="M237:M244">K237*L237</f>
        <v>120000</v>
      </c>
      <c r="N237" s="657"/>
      <c r="O237" s="576"/>
      <c r="P237" s="576"/>
      <c r="Z237" s="564"/>
      <c r="AA237" s="564"/>
    </row>
    <row r="238" spans="3:27" s="561" customFormat="1" ht="15" customHeight="1">
      <c r="C238" s="587"/>
      <c r="D238" s="686"/>
      <c r="E238" s="588" t="s">
        <v>66</v>
      </c>
      <c r="F238" s="595"/>
      <c r="G238" s="590"/>
      <c r="H238" s="591"/>
      <c r="I238" s="592"/>
      <c r="J238" s="593" t="s">
        <v>140</v>
      </c>
      <c r="K238" s="598">
        <f>11.38/40</f>
        <v>0.28450000000000003</v>
      </c>
      <c r="L238" s="658">
        <f>Bhn!$M$44</f>
        <v>39000</v>
      </c>
      <c r="M238" s="658">
        <f t="shared" si="9"/>
        <v>11095.500000000002</v>
      </c>
      <c r="N238" s="657"/>
      <c r="O238" s="576"/>
      <c r="P238" s="576"/>
      <c r="Z238" s="564"/>
      <c r="AA238" s="564"/>
    </row>
    <row r="239" spans="3:27" s="561" customFormat="1" ht="15" customHeight="1">
      <c r="C239" s="587"/>
      <c r="D239" s="686"/>
      <c r="E239" s="588" t="s">
        <v>60</v>
      </c>
      <c r="F239" s="595"/>
      <c r="G239" s="590"/>
      <c r="H239" s="591"/>
      <c r="I239" s="592"/>
      <c r="J239" s="593" t="s">
        <v>134</v>
      </c>
      <c r="K239" s="598">
        <v>0.042</v>
      </c>
      <c r="L239" s="658">
        <f>Bhn!$M$39</f>
        <v>100000</v>
      </c>
      <c r="M239" s="658">
        <f t="shared" si="9"/>
        <v>4200</v>
      </c>
      <c r="N239" s="657"/>
      <c r="O239" s="576"/>
      <c r="P239" s="576"/>
      <c r="Z239" s="564"/>
      <c r="AA239" s="564"/>
    </row>
    <row r="240" spans="3:27" s="561" customFormat="1" ht="15" customHeight="1">
      <c r="C240" s="587"/>
      <c r="D240" s="686"/>
      <c r="E240" s="588" t="s">
        <v>68</v>
      </c>
      <c r="F240" s="595"/>
      <c r="G240" s="590"/>
      <c r="H240" s="591"/>
      <c r="I240" s="592"/>
      <c r="J240" s="593" t="s">
        <v>140</v>
      </c>
      <c r="K240" s="598">
        <f>1.5/40</f>
        <v>0.0375</v>
      </c>
      <c r="L240" s="658">
        <f>Bhn!$M$45</f>
        <v>7000</v>
      </c>
      <c r="M240" s="658">
        <f t="shared" si="9"/>
        <v>262.5</v>
      </c>
      <c r="N240" s="659"/>
      <c r="O240" s="576"/>
      <c r="P240" s="576"/>
      <c r="Z240" s="564"/>
      <c r="AA240" s="564"/>
    </row>
    <row r="241" spans="3:27" s="561" customFormat="1" ht="15" customHeight="1">
      <c r="C241" s="587"/>
      <c r="D241" s="686"/>
      <c r="E241" s="588" t="s">
        <v>47</v>
      </c>
      <c r="F241" s="595"/>
      <c r="G241" s="590"/>
      <c r="H241" s="591"/>
      <c r="I241" s="592"/>
      <c r="J241" s="651"/>
      <c r="K241" s="598">
        <v>0.35</v>
      </c>
      <c r="L241" s="658">
        <f>Bhn!$M$25</f>
        <v>40000</v>
      </c>
      <c r="M241" s="658">
        <f t="shared" si="9"/>
        <v>14000</v>
      </c>
      <c r="N241" s="657"/>
      <c r="O241" s="576"/>
      <c r="P241" s="576"/>
      <c r="Z241" s="564"/>
      <c r="AA241" s="564"/>
    </row>
    <row r="242" spans="3:27" s="561" customFormat="1" ht="15" customHeight="1">
      <c r="C242" s="587"/>
      <c r="D242" s="686"/>
      <c r="E242" s="588" t="s">
        <v>48</v>
      </c>
      <c r="F242" s="595"/>
      <c r="G242" s="590"/>
      <c r="H242" s="591"/>
      <c r="I242" s="592"/>
      <c r="J242" s="651"/>
      <c r="K242" s="598">
        <v>0.035</v>
      </c>
      <c r="L242" s="658">
        <f>Bhn!$M$26</f>
        <v>40000</v>
      </c>
      <c r="M242" s="658">
        <f t="shared" si="9"/>
        <v>1400.0000000000002</v>
      </c>
      <c r="N242" s="657"/>
      <c r="O242" s="576"/>
      <c r="P242" s="576"/>
      <c r="Z242" s="564"/>
      <c r="AA242" s="564"/>
    </row>
    <row r="243" spans="3:27" s="561" customFormat="1" ht="15" customHeight="1">
      <c r="C243" s="587"/>
      <c r="D243" s="686"/>
      <c r="E243" s="588" t="s">
        <v>43</v>
      </c>
      <c r="F243" s="595"/>
      <c r="G243" s="590"/>
      <c r="H243" s="591"/>
      <c r="I243" s="592"/>
      <c r="J243" s="651"/>
      <c r="K243" s="598">
        <v>0.62</v>
      </c>
      <c r="L243" s="658">
        <f>Bhn!$M$23</f>
        <v>30000</v>
      </c>
      <c r="M243" s="658">
        <f t="shared" si="9"/>
        <v>18600</v>
      </c>
      <c r="N243" s="657"/>
      <c r="O243" s="576"/>
      <c r="P243" s="576"/>
      <c r="Z243" s="564"/>
      <c r="AA243" s="564"/>
    </row>
    <row r="244" spans="3:27" s="561" customFormat="1" ht="15" customHeight="1">
      <c r="C244" s="587"/>
      <c r="D244" s="686"/>
      <c r="E244" s="588" t="s">
        <v>46</v>
      </c>
      <c r="F244" s="595"/>
      <c r="G244" s="590"/>
      <c r="H244" s="591"/>
      <c r="I244" s="592"/>
      <c r="J244" s="651"/>
      <c r="K244" s="598">
        <v>0.03</v>
      </c>
      <c r="L244" s="658">
        <f>Bhn!$M$24</f>
        <v>40000</v>
      </c>
      <c r="M244" s="658">
        <f t="shared" si="9"/>
        <v>1200</v>
      </c>
      <c r="N244" s="659"/>
      <c r="O244" s="576"/>
      <c r="P244" s="576"/>
      <c r="Z244" s="564"/>
      <c r="AA244" s="564"/>
    </row>
    <row r="245" spans="3:27" s="561" customFormat="1" ht="15" customHeight="1">
      <c r="C245" s="587"/>
      <c r="D245" s="686"/>
      <c r="E245" s="588"/>
      <c r="F245" s="595"/>
      <c r="G245" s="590"/>
      <c r="H245" s="591"/>
      <c r="I245" s="592"/>
      <c r="J245" s="651"/>
      <c r="K245" s="598"/>
      <c r="L245" s="658"/>
      <c r="M245" s="658"/>
      <c r="N245" s="659"/>
      <c r="O245" s="576"/>
      <c r="P245" s="576"/>
      <c r="Z245" s="564"/>
      <c r="AA245" s="564"/>
    </row>
    <row r="246" spans="3:27" s="578" customFormat="1" ht="15" customHeight="1">
      <c r="C246" s="694">
        <f>+C236+1</f>
        <v>29</v>
      </c>
      <c r="D246" s="688"/>
      <c r="E246" s="687" t="s">
        <v>894</v>
      </c>
      <c r="F246" s="691"/>
      <c r="G246" s="689"/>
      <c r="H246" s="693"/>
      <c r="I246" s="654" t="s">
        <v>7</v>
      </c>
      <c r="J246" s="655" t="s">
        <v>895</v>
      </c>
      <c r="K246" s="661"/>
      <c r="L246" s="657"/>
      <c r="M246" s="659"/>
      <c r="N246" s="657">
        <f>N236/10</f>
        <v>17075.8</v>
      </c>
      <c r="O246" s="579"/>
      <c r="P246" s="579"/>
      <c r="Z246" s="580"/>
      <c r="AA246" s="580"/>
    </row>
    <row r="247" spans="3:27" s="561" customFormat="1" ht="15" customHeight="1">
      <c r="C247" s="587"/>
      <c r="D247" s="686"/>
      <c r="E247" s="588"/>
      <c r="F247" s="595"/>
      <c r="G247" s="590"/>
      <c r="H247" s="591"/>
      <c r="I247" s="592"/>
      <c r="J247" s="651"/>
      <c r="K247" s="598"/>
      <c r="L247" s="658"/>
      <c r="M247" s="658"/>
      <c r="N247" s="659"/>
      <c r="O247" s="576"/>
      <c r="P247" s="576"/>
      <c r="Z247" s="564"/>
      <c r="AA247" s="564"/>
    </row>
    <row r="248" spans="3:28" s="578" customFormat="1" ht="15" customHeight="1">
      <c r="C248" s="694">
        <f>+C246+1</f>
        <v>30</v>
      </c>
      <c r="D248" s="688"/>
      <c r="E248" s="687" t="s">
        <v>522</v>
      </c>
      <c r="F248" s="691"/>
      <c r="G248" s="689"/>
      <c r="H248" s="693"/>
      <c r="I248" s="654" t="s">
        <v>7</v>
      </c>
      <c r="J248" s="655" t="s">
        <v>150</v>
      </c>
      <c r="K248" s="661"/>
      <c r="L248" s="659"/>
      <c r="M248" s="659"/>
      <c r="N248" s="657">
        <f>SUM(M249:M256)</f>
        <v>90758</v>
      </c>
      <c r="O248" s="560"/>
      <c r="P248" s="560"/>
      <c r="Z248" s="580"/>
      <c r="AA248" s="580"/>
      <c r="AB248" s="580"/>
    </row>
    <row r="249" spans="3:24" s="561" customFormat="1" ht="15" customHeight="1">
      <c r="C249" s="587"/>
      <c r="D249" s="686"/>
      <c r="E249" s="588" t="s">
        <v>521</v>
      </c>
      <c r="F249" s="595"/>
      <c r="G249" s="590"/>
      <c r="H249" s="591"/>
      <c r="I249" s="592"/>
      <c r="J249" s="593" t="s">
        <v>149</v>
      </c>
      <c r="K249" s="598">
        <v>1</v>
      </c>
      <c r="L249" s="658">
        <f>Bhn!M117</f>
        <v>40000</v>
      </c>
      <c r="M249" s="658">
        <f aca="true" t="shared" si="10" ref="M249:M256">K249*L249</f>
        <v>40000</v>
      </c>
      <c r="N249" s="657"/>
      <c r="O249" s="559"/>
      <c r="P249" s="559"/>
      <c r="X249" s="564"/>
    </row>
    <row r="250" spans="3:58" s="561" customFormat="1" ht="15" customHeight="1">
      <c r="C250" s="587"/>
      <c r="D250" s="686"/>
      <c r="E250" s="588" t="s">
        <v>66</v>
      </c>
      <c r="F250" s="595"/>
      <c r="G250" s="590"/>
      <c r="H250" s="591"/>
      <c r="I250" s="592"/>
      <c r="J250" s="593" t="s">
        <v>140</v>
      </c>
      <c r="K250" s="598">
        <f>11.38/40</f>
        <v>0.28450000000000003</v>
      </c>
      <c r="L250" s="658">
        <f>Bhn!$M$44</f>
        <v>39000</v>
      </c>
      <c r="M250" s="658">
        <f t="shared" si="10"/>
        <v>11095.500000000002</v>
      </c>
      <c r="N250" s="657"/>
      <c r="O250" s="559"/>
      <c r="P250" s="559"/>
      <c r="AB250" s="564"/>
      <c r="AD250" s="564"/>
      <c r="AE250" s="564"/>
      <c r="AF250" s="564"/>
      <c r="AQ250" s="564"/>
      <c r="AV250" s="564"/>
      <c r="AZ250" s="564"/>
      <c r="BC250" s="564"/>
      <c r="BF250" s="564"/>
    </row>
    <row r="251" spans="3:58" s="561" customFormat="1" ht="15" customHeight="1">
      <c r="C251" s="587"/>
      <c r="D251" s="686"/>
      <c r="E251" s="588" t="s">
        <v>60</v>
      </c>
      <c r="F251" s="595"/>
      <c r="G251" s="590"/>
      <c r="H251" s="591"/>
      <c r="I251" s="592"/>
      <c r="J251" s="593" t="s">
        <v>134</v>
      </c>
      <c r="K251" s="598">
        <v>0.042</v>
      </c>
      <c r="L251" s="658">
        <f>Bhn!$M$39</f>
        <v>100000</v>
      </c>
      <c r="M251" s="658">
        <f t="shared" si="10"/>
        <v>4200</v>
      </c>
      <c r="N251" s="657"/>
      <c r="O251" s="559"/>
      <c r="P251" s="559"/>
      <c r="X251" s="564"/>
      <c r="Z251" s="564"/>
      <c r="AA251" s="564"/>
      <c r="AB251" s="564"/>
      <c r="AD251" s="564"/>
      <c r="AE251" s="564"/>
      <c r="AF251" s="564"/>
      <c r="AQ251" s="564"/>
      <c r="AV251" s="564"/>
      <c r="AZ251" s="564"/>
      <c r="BC251" s="564"/>
      <c r="BF251" s="564"/>
    </row>
    <row r="252" spans="3:58" s="561" customFormat="1" ht="15" customHeight="1">
      <c r="C252" s="587"/>
      <c r="D252" s="686"/>
      <c r="E252" s="588" t="s">
        <v>68</v>
      </c>
      <c r="F252" s="595"/>
      <c r="G252" s="590"/>
      <c r="H252" s="591"/>
      <c r="I252" s="592"/>
      <c r="J252" s="593" t="s">
        <v>140</v>
      </c>
      <c r="K252" s="598">
        <f>1.5/40</f>
        <v>0.0375</v>
      </c>
      <c r="L252" s="658">
        <f>Bhn!$M$45</f>
        <v>7000</v>
      </c>
      <c r="M252" s="658">
        <f t="shared" si="10"/>
        <v>262.5</v>
      </c>
      <c r="N252" s="659"/>
      <c r="O252" s="576"/>
      <c r="P252" s="576"/>
      <c r="X252" s="564"/>
      <c r="Z252" s="564"/>
      <c r="AA252" s="564"/>
      <c r="AB252" s="564"/>
      <c r="AD252" s="564"/>
      <c r="AE252" s="564"/>
      <c r="AF252" s="564"/>
      <c r="AQ252" s="564"/>
      <c r="AV252" s="564"/>
      <c r="AZ252" s="564"/>
      <c r="BC252" s="564"/>
      <c r="BF252" s="564"/>
    </row>
    <row r="253" spans="3:58" s="561" customFormat="1" ht="15" customHeight="1">
      <c r="C253" s="587"/>
      <c r="D253" s="686"/>
      <c r="E253" s="588" t="s">
        <v>47</v>
      </c>
      <c r="F253" s="595"/>
      <c r="G253" s="590"/>
      <c r="H253" s="591"/>
      <c r="I253" s="592"/>
      <c r="J253" s="651"/>
      <c r="K253" s="598">
        <v>0.35</v>
      </c>
      <c r="L253" s="658">
        <f>Bhn!$M$25</f>
        <v>40000</v>
      </c>
      <c r="M253" s="658">
        <f t="shared" si="10"/>
        <v>14000</v>
      </c>
      <c r="N253" s="657"/>
      <c r="O253" s="559"/>
      <c r="P253" s="559"/>
      <c r="X253" s="564"/>
      <c r="Z253" s="564"/>
      <c r="AA253" s="564"/>
      <c r="AB253" s="564"/>
      <c r="AD253" s="564"/>
      <c r="AE253" s="564"/>
      <c r="AF253" s="564"/>
      <c r="AQ253" s="564"/>
      <c r="AV253" s="564"/>
      <c r="AZ253" s="564"/>
      <c r="BC253" s="564"/>
      <c r="BF253" s="564"/>
    </row>
    <row r="254" spans="3:58" s="561" customFormat="1" ht="15" customHeight="1">
      <c r="C254" s="587"/>
      <c r="D254" s="686"/>
      <c r="E254" s="588" t="s">
        <v>48</v>
      </c>
      <c r="F254" s="595"/>
      <c r="G254" s="590"/>
      <c r="H254" s="591"/>
      <c r="I254" s="592"/>
      <c r="J254" s="651"/>
      <c r="K254" s="598">
        <v>0.035</v>
      </c>
      <c r="L254" s="658">
        <f>Bhn!$M$26</f>
        <v>40000</v>
      </c>
      <c r="M254" s="658">
        <f t="shared" si="10"/>
        <v>1400.0000000000002</v>
      </c>
      <c r="N254" s="657"/>
      <c r="O254" s="559"/>
      <c r="P254" s="559"/>
      <c r="X254" s="564"/>
      <c r="Z254" s="564"/>
      <c r="AA254" s="564"/>
      <c r="AB254" s="564"/>
      <c r="AD254" s="564"/>
      <c r="AE254" s="564"/>
      <c r="AF254" s="564"/>
      <c r="AG254" s="564"/>
      <c r="AQ254" s="564"/>
      <c r="AV254" s="564"/>
      <c r="AZ254" s="564"/>
      <c r="BC254" s="564"/>
      <c r="BF254" s="564"/>
    </row>
    <row r="255" spans="3:58" s="561" customFormat="1" ht="15" customHeight="1">
      <c r="C255" s="587"/>
      <c r="D255" s="686"/>
      <c r="E255" s="588" t="s">
        <v>43</v>
      </c>
      <c r="F255" s="595"/>
      <c r="G255" s="590"/>
      <c r="H255" s="591"/>
      <c r="I255" s="592"/>
      <c r="J255" s="651"/>
      <c r="K255" s="598">
        <v>0.62</v>
      </c>
      <c r="L255" s="658">
        <f>Bhn!$M$23</f>
        <v>30000</v>
      </c>
      <c r="M255" s="658">
        <f t="shared" si="10"/>
        <v>18600</v>
      </c>
      <c r="N255" s="657"/>
      <c r="O255" s="559"/>
      <c r="P255" s="559"/>
      <c r="X255" s="564"/>
      <c r="Z255" s="564"/>
      <c r="AA255" s="564"/>
      <c r="AB255" s="564"/>
      <c r="AD255" s="564"/>
      <c r="AE255" s="564"/>
      <c r="AF255" s="564"/>
      <c r="AQ255" s="564"/>
      <c r="AV255" s="564"/>
      <c r="AZ255" s="564"/>
      <c r="BC255" s="564"/>
      <c r="BF255" s="564"/>
    </row>
    <row r="256" spans="3:58" s="561" customFormat="1" ht="15" customHeight="1">
      <c r="C256" s="587"/>
      <c r="D256" s="686"/>
      <c r="E256" s="588" t="s">
        <v>46</v>
      </c>
      <c r="F256" s="595"/>
      <c r="G256" s="590"/>
      <c r="H256" s="591"/>
      <c r="I256" s="592"/>
      <c r="J256" s="651"/>
      <c r="K256" s="598">
        <v>0.03</v>
      </c>
      <c r="L256" s="658">
        <f>Bhn!$M$24</f>
        <v>40000</v>
      </c>
      <c r="M256" s="658">
        <f t="shared" si="10"/>
        <v>1200</v>
      </c>
      <c r="N256" s="659"/>
      <c r="O256" s="576"/>
      <c r="P256" s="576"/>
      <c r="X256" s="564"/>
      <c r="AD256" s="564"/>
      <c r="AE256" s="564"/>
      <c r="AF256" s="564"/>
      <c r="AQ256" s="564"/>
      <c r="AV256" s="564"/>
      <c r="AZ256" s="564"/>
      <c r="BC256" s="564"/>
      <c r="BF256" s="564"/>
    </row>
    <row r="257" spans="3:58" s="561" customFormat="1" ht="15" customHeight="1">
      <c r="C257" s="587"/>
      <c r="D257" s="686"/>
      <c r="E257" s="588"/>
      <c r="F257" s="595"/>
      <c r="G257" s="590"/>
      <c r="H257" s="591"/>
      <c r="I257" s="592"/>
      <c r="J257" s="651"/>
      <c r="K257" s="598"/>
      <c r="L257" s="658"/>
      <c r="M257" s="658"/>
      <c r="N257" s="659"/>
      <c r="O257" s="576"/>
      <c r="P257" s="576"/>
      <c r="X257" s="564"/>
      <c r="AD257" s="564"/>
      <c r="AE257" s="564"/>
      <c r="AF257" s="564"/>
      <c r="AQ257" s="564"/>
      <c r="AV257" s="564"/>
      <c r="AZ257" s="564"/>
      <c r="BC257" s="564"/>
      <c r="BF257" s="564"/>
    </row>
    <row r="258" spans="3:58" s="578" customFormat="1" ht="15" customHeight="1">
      <c r="C258" s="694">
        <f>C248+1</f>
        <v>31</v>
      </c>
      <c r="D258" s="688"/>
      <c r="E258" s="687" t="s">
        <v>523</v>
      </c>
      <c r="F258" s="691"/>
      <c r="G258" s="689"/>
      <c r="H258" s="693"/>
      <c r="I258" s="654" t="s">
        <v>7</v>
      </c>
      <c r="J258" s="655" t="s">
        <v>150</v>
      </c>
      <c r="K258" s="661"/>
      <c r="L258" s="659"/>
      <c r="M258" s="659"/>
      <c r="N258" s="657">
        <f>SUM(M259:M266)</f>
        <v>88258</v>
      </c>
      <c r="O258" s="579"/>
      <c r="P258" s="579"/>
      <c r="X258" s="580"/>
      <c r="AD258" s="580"/>
      <c r="AE258" s="580"/>
      <c r="AF258" s="580"/>
      <c r="AQ258" s="580"/>
      <c r="AV258" s="580"/>
      <c r="AZ258" s="580"/>
      <c r="BC258" s="580"/>
      <c r="BF258" s="580"/>
    </row>
    <row r="259" spans="3:58" s="561" customFormat="1" ht="15" customHeight="1">
      <c r="C259" s="587"/>
      <c r="D259" s="686"/>
      <c r="E259" s="588" t="s">
        <v>524</v>
      </c>
      <c r="F259" s="595"/>
      <c r="G259" s="590"/>
      <c r="H259" s="591"/>
      <c r="I259" s="592"/>
      <c r="J259" s="593" t="s">
        <v>149</v>
      </c>
      <c r="K259" s="598">
        <v>1</v>
      </c>
      <c r="L259" s="658">
        <f>Bhn!M118</f>
        <v>37500</v>
      </c>
      <c r="M259" s="658">
        <f aca="true" t="shared" si="11" ref="M259:M266">K259*L259</f>
        <v>37500</v>
      </c>
      <c r="N259" s="657"/>
      <c r="O259" s="576"/>
      <c r="P259" s="576"/>
      <c r="X259" s="564"/>
      <c r="AD259" s="564"/>
      <c r="AE259" s="564"/>
      <c r="AF259" s="564"/>
      <c r="AQ259" s="564"/>
      <c r="AV259" s="564"/>
      <c r="AZ259" s="564"/>
      <c r="BC259" s="564"/>
      <c r="BF259" s="564"/>
    </row>
    <row r="260" spans="3:58" s="561" customFormat="1" ht="15" customHeight="1">
      <c r="C260" s="587"/>
      <c r="D260" s="686"/>
      <c r="E260" s="588" t="s">
        <v>66</v>
      </c>
      <c r="F260" s="595"/>
      <c r="G260" s="590"/>
      <c r="H260" s="591"/>
      <c r="I260" s="592"/>
      <c r="J260" s="593" t="s">
        <v>140</v>
      </c>
      <c r="K260" s="598">
        <f>11.38/40</f>
        <v>0.28450000000000003</v>
      </c>
      <c r="L260" s="658">
        <f>Bhn!$M$44</f>
        <v>39000</v>
      </c>
      <c r="M260" s="658">
        <f t="shared" si="11"/>
        <v>11095.500000000002</v>
      </c>
      <c r="N260" s="657"/>
      <c r="O260" s="576"/>
      <c r="P260" s="576"/>
      <c r="X260" s="564"/>
      <c r="AD260" s="564"/>
      <c r="AE260" s="564"/>
      <c r="AF260" s="564"/>
      <c r="AQ260" s="564"/>
      <c r="AV260" s="564"/>
      <c r="AZ260" s="564"/>
      <c r="BC260" s="564"/>
      <c r="BF260" s="564"/>
    </row>
    <row r="261" spans="3:58" s="561" customFormat="1" ht="15" customHeight="1">
      <c r="C261" s="587"/>
      <c r="D261" s="686"/>
      <c r="E261" s="588" t="s">
        <v>60</v>
      </c>
      <c r="F261" s="595"/>
      <c r="G261" s="590"/>
      <c r="H261" s="591"/>
      <c r="I261" s="592"/>
      <c r="J261" s="593" t="s">
        <v>134</v>
      </c>
      <c r="K261" s="598">
        <v>0.042</v>
      </c>
      <c r="L261" s="658">
        <f>Bhn!$M$39</f>
        <v>100000</v>
      </c>
      <c r="M261" s="658">
        <f t="shared" si="11"/>
        <v>4200</v>
      </c>
      <c r="N261" s="657"/>
      <c r="O261" s="576"/>
      <c r="P261" s="576"/>
      <c r="X261" s="564"/>
      <c r="AD261" s="564"/>
      <c r="AE261" s="564"/>
      <c r="AF261" s="564"/>
      <c r="AQ261" s="564"/>
      <c r="AV261" s="564"/>
      <c r="AZ261" s="564"/>
      <c r="BC261" s="564"/>
      <c r="BF261" s="564"/>
    </row>
    <row r="262" spans="3:58" s="561" customFormat="1" ht="15" customHeight="1">
      <c r="C262" s="587"/>
      <c r="D262" s="686"/>
      <c r="E262" s="588" t="s">
        <v>68</v>
      </c>
      <c r="F262" s="595"/>
      <c r="G262" s="590"/>
      <c r="H262" s="591"/>
      <c r="I262" s="592"/>
      <c r="J262" s="593" t="s">
        <v>140</v>
      </c>
      <c r="K262" s="598">
        <f>1.5/40</f>
        <v>0.0375</v>
      </c>
      <c r="L262" s="658">
        <f>Bhn!$M$45</f>
        <v>7000</v>
      </c>
      <c r="M262" s="658">
        <f t="shared" si="11"/>
        <v>262.5</v>
      </c>
      <c r="N262" s="659"/>
      <c r="O262" s="576"/>
      <c r="P262" s="576"/>
      <c r="X262" s="564"/>
      <c r="AD262" s="564"/>
      <c r="AE262" s="564"/>
      <c r="AF262" s="564"/>
      <c r="AQ262" s="564"/>
      <c r="AV262" s="564"/>
      <c r="AZ262" s="564"/>
      <c r="BC262" s="564"/>
      <c r="BF262" s="564"/>
    </row>
    <row r="263" spans="3:58" s="561" customFormat="1" ht="15" customHeight="1">
      <c r="C263" s="587"/>
      <c r="D263" s="686"/>
      <c r="E263" s="588" t="s">
        <v>47</v>
      </c>
      <c r="F263" s="595"/>
      <c r="G263" s="590"/>
      <c r="H263" s="591"/>
      <c r="I263" s="592"/>
      <c r="J263" s="651"/>
      <c r="K263" s="598">
        <v>0.35</v>
      </c>
      <c r="L263" s="658">
        <f>Bhn!$M$25</f>
        <v>40000</v>
      </c>
      <c r="M263" s="658">
        <f t="shared" si="11"/>
        <v>14000</v>
      </c>
      <c r="N263" s="657"/>
      <c r="O263" s="576"/>
      <c r="P263" s="576"/>
      <c r="X263" s="564"/>
      <c r="AD263" s="564"/>
      <c r="AE263" s="564"/>
      <c r="AF263" s="564"/>
      <c r="AQ263" s="564"/>
      <c r="AV263" s="564"/>
      <c r="AZ263" s="564"/>
      <c r="BC263" s="564"/>
      <c r="BF263" s="564"/>
    </row>
    <row r="264" spans="3:58" s="561" customFormat="1" ht="15" customHeight="1">
      <c r="C264" s="587"/>
      <c r="D264" s="686"/>
      <c r="E264" s="588" t="s">
        <v>48</v>
      </c>
      <c r="F264" s="595"/>
      <c r="G264" s="590"/>
      <c r="H264" s="591"/>
      <c r="I264" s="592"/>
      <c r="J264" s="651"/>
      <c r="K264" s="598">
        <v>0.035</v>
      </c>
      <c r="L264" s="658">
        <f>Bhn!$M$26</f>
        <v>40000</v>
      </c>
      <c r="M264" s="658">
        <f t="shared" si="11"/>
        <v>1400.0000000000002</v>
      </c>
      <c r="N264" s="657"/>
      <c r="O264" s="576"/>
      <c r="P264" s="576"/>
      <c r="X264" s="564"/>
      <c r="AD264" s="564"/>
      <c r="AE264" s="564"/>
      <c r="AF264" s="564"/>
      <c r="AQ264" s="564"/>
      <c r="AV264" s="564"/>
      <c r="AZ264" s="564"/>
      <c r="BC264" s="564"/>
      <c r="BF264" s="564"/>
    </row>
    <row r="265" spans="3:58" s="561" customFormat="1" ht="15" customHeight="1">
      <c r="C265" s="587"/>
      <c r="D265" s="686"/>
      <c r="E265" s="588" t="s">
        <v>43</v>
      </c>
      <c r="F265" s="595"/>
      <c r="G265" s="590"/>
      <c r="H265" s="591"/>
      <c r="I265" s="592"/>
      <c r="J265" s="651"/>
      <c r="K265" s="598">
        <v>0.62</v>
      </c>
      <c r="L265" s="658">
        <f>Bhn!$M$23</f>
        <v>30000</v>
      </c>
      <c r="M265" s="658">
        <f t="shared" si="11"/>
        <v>18600</v>
      </c>
      <c r="N265" s="657"/>
      <c r="O265" s="576"/>
      <c r="P265" s="576"/>
      <c r="X265" s="564"/>
      <c r="AD265" s="564"/>
      <c r="AE265" s="564"/>
      <c r="AF265" s="564"/>
      <c r="AQ265" s="564"/>
      <c r="AV265" s="564"/>
      <c r="AZ265" s="564"/>
      <c r="BC265" s="564"/>
      <c r="BF265" s="564"/>
    </row>
    <row r="266" spans="3:58" s="561" customFormat="1" ht="15" customHeight="1">
      <c r="C266" s="587"/>
      <c r="D266" s="686"/>
      <c r="E266" s="588" t="s">
        <v>46</v>
      </c>
      <c r="F266" s="595"/>
      <c r="G266" s="590"/>
      <c r="H266" s="591"/>
      <c r="I266" s="592"/>
      <c r="J266" s="651"/>
      <c r="K266" s="598">
        <v>0.03</v>
      </c>
      <c r="L266" s="658">
        <f>Bhn!$M$24</f>
        <v>40000</v>
      </c>
      <c r="M266" s="658">
        <f t="shared" si="11"/>
        <v>1200</v>
      </c>
      <c r="N266" s="659"/>
      <c r="O266" s="576"/>
      <c r="P266" s="576"/>
      <c r="X266" s="564"/>
      <c r="AD266" s="564"/>
      <c r="AE266" s="564"/>
      <c r="AF266" s="564"/>
      <c r="AQ266" s="564"/>
      <c r="AV266" s="564"/>
      <c r="AZ266" s="564"/>
      <c r="BC266" s="564"/>
      <c r="BF266" s="564"/>
    </row>
    <row r="267" spans="3:58" s="561" customFormat="1" ht="15" customHeight="1">
      <c r="C267" s="587"/>
      <c r="D267" s="686"/>
      <c r="E267" s="588"/>
      <c r="F267" s="595"/>
      <c r="G267" s="590"/>
      <c r="H267" s="591"/>
      <c r="I267" s="592"/>
      <c r="J267" s="651"/>
      <c r="K267" s="598"/>
      <c r="L267" s="658"/>
      <c r="M267" s="658"/>
      <c r="N267" s="659"/>
      <c r="O267" s="576"/>
      <c r="P267" s="576"/>
      <c r="X267" s="564"/>
      <c r="AD267" s="564"/>
      <c r="AE267" s="564"/>
      <c r="AF267" s="564"/>
      <c r="AQ267" s="564"/>
      <c r="AV267" s="564"/>
      <c r="AZ267" s="564"/>
      <c r="BC267" s="564"/>
      <c r="BF267" s="564"/>
    </row>
    <row r="268" spans="3:58" s="578" customFormat="1" ht="15" customHeight="1">
      <c r="C268" s="694">
        <f>+C258+1</f>
        <v>32</v>
      </c>
      <c r="D268" s="688"/>
      <c r="E268" s="687" t="s">
        <v>1022</v>
      </c>
      <c r="F268" s="691"/>
      <c r="G268" s="689"/>
      <c r="H268" s="693"/>
      <c r="I268" s="654" t="s">
        <v>7</v>
      </c>
      <c r="J268" s="655" t="s">
        <v>150</v>
      </c>
      <c r="K268" s="661"/>
      <c r="L268" s="659"/>
      <c r="M268" s="659"/>
      <c r="N268" s="657">
        <f>SUM(M269:M276)</f>
        <v>87788</v>
      </c>
      <c r="O268" s="579"/>
      <c r="P268" s="579"/>
      <c r="X268" s="580"/>
      <c r="AD268" s="580"/>
      <c r="AE268" s="580"/>
      <c r="AF268" s="580"/>
      <c r="AQ268" s="580"/>
      <c r="AV268" s="580"/>
      <c r="AZ268" s="580"/>
      <c r="BC268" s="580"/>
      <c r="BF268" s="580"/>
    </row>
    <row r="269" spans="3:58" s="561" customFormat="1" ht="15" customHeight="1">
      <c r="C269" s="587"/>
      <c r="D269" s="686"/>
      <c r="E269" s="588" t="s">
        <v>1021</v>
      </c>
      <c r="F269" s="595"/>
      <c r="G269" s="590"/>
      <c r="H269" s="591"/>
      <c r="I269" s="592"/>
      <c r="J269" s="593" t="s">
        <v>149</v>
      </c>
      <c r="K269" s="598">
        <v>1</v>
      </c>
      <c r="L269" s="658">
        <f>Bhn!M98</f>
        <v>37030</v>
      </c>
      <c r="M269" s="658">
        <f aca="true" t="shared" si="12" ref="M269:M276">K269*L269</f>
        <v>37030</v>
      </c>
      <c r="N269" s="657"/>
      <c r="O269" s="576"/>
      <c r="P269" s="576"/>
      <c r="X269" s="564"/>
      <c r="AD269" s="564"/>
      <c r="AE269" s="564"/>
      <c r="AF269" s="564"/>
      <c r="AQ269" s="564"/>
      <c r="AV269" s="564"/>
      <c r="AZ269" s="564"/>
      <c r="BC269" s="564"/>
      <c r="BF269" s="564"/>
    </row>
    <row r="270" spans="3:58" s="561" customFormat="1" ht="15" customHeight="1">
      <c r="C270" s="587"/>
      <c r="D270" s="686"/>
      <c r="E270" s="588" t="s">
        <v>66</v>
      </c>
      <c r="F270" s="595"/>
      <c r="G270" s="590"/>
      <c r="H270" s="591"/>
      <c r="I270" s="592"/>
      <c r="J270" s="593" t="s">
        <v>140</v>
      </c>
      <c r="K270" s="598">
        <f>11.38/40</f>
        <v>0.28450000000000003</v>
      </c>
      <c r="L270" s="658">
        <f>Bhn!$M$44</f>
        <v>39000</v>
      </c>
      <c r="M270" s="658">
        <f t="shared" si="12"/>
        <v>11095.500000000002</v>
      </c>
      <c r="N270" s="657"/>
      <c r="O270" s="576"/>
      <c r="P270" s="576"/>
      <c r="X270" s="564"/>
      <c r="AD270" s="564"/>
      <c r="AE270" s="564"/>
      <c r="AF270" s="564"/>
      <c r="AQ270" s="564"/>
      <c r="AV270" s="564"/>
      <c r="AZ270" s="564"/>
      <c r="BC270" s="564"/>
      <c r="BF270" s="564"/>
    </row>
    <row r="271" spans="3:58" s="561" customFormat="1" ht="15" customHeight="1">
      <c r="C271" s="587"/>
      <c r="D271" s="686"/>
      <c r="E271" s="588" t="s">
        <v>60</v>
      </c>
      <c r="F271" s="595"/>
      <c r="G271" s="590"/>
      <c r="H271" s="591"/>
      <c r="I271" s="592"/>
      <c r="J271" s="593" t="s">
        <v>134</v>
      </c>
      <c r="K271" s="598">
        <v>0.042</v>
      </c>
      <c r="L271" s="658">
        <f>Bhn!$M$39</f>
        <v>100000</v>
      </c>
      <c r="M271" s="658">
        <f t="shared" si="12"/>
        <v>4200</v>
      </c>
      <c r="N271" s="657"/>
      <c r="O271" s="576"/>
      <c r="P271" s="576"/>
      <c r="X271" s="564"/>
      <c r="AD271" s="564"/>
      <c r="AE271" s="564"/>
      <c r="AF271" s="564"/>
      <c r="AQ271" s="564"/>
      <c r="AV271" s="564"/>
      <c r="AZ271" s="564"/>
      <c r="BC271" s="564"/>
      <c r="BF271" s="564"/>
    </row>
    <row r="272" spans="3:58" s="561" customFormat="1" ht="15" customHeight="1">
      <c r="C272" s="587"/>
      <c r="D272" s="686"/>
      <c r="E272" s="588" t="s">
        <v>68</v>
      </c>
      <c r="F272" s="595"/>
      <c r="G272" s="590"/>
      <c r="H272" s="591"/>
      <c r="I272" s="592"/>
      <c r="J272" s="593" t="s">
        <v>140</v>
      </c>
      <c r="K272" s="598">
        <f>1.5/40</f>
        <v>0.0375</v>
      </c>
      <c r="L272" s="658">
        <f>Bhn!$M$45</f>
        <v>7000</v>
      </c>
      <c r="M272" s="658">
        <f t="shared" si="12"/>
        <v>262.5</v>
      </c>
      <c r="N272" s="659"/>
      <c r="O272" s="576"/>
      <c r="P272" s="576"/>
      <c r="X272" s="564"/>
      <c r="AD272" s="564"/>
      <c r="AE272" s="564"/>
      <c r="AF272" s="564"/>
      <c r="AQ272" s="564"/>
      <c r="AV272" s="564"/>
      <c r="AZ272" s="564"/>
      <c r="BC272" s="564"/>
      <c r="BF272" s="564"/>
    </row>
    <row r="273" spans="3:58" s="561" customFormat="1" ht="15" customHeight="1">
      <c r="C273" s="587"/>
      <c r="D273" s="686"/>
      <c r="E273" s="588" t="s">
        <v>47</v>
      </c>
      <c r="F273" s="595"/>
      <c r="G273" s="590"/>
      <c r="H273" s="591"/>
      <c r="I273" s="592"/>
      <c r="J273" s="651"/>
      <c r="K273" s="598">
        <v>0.35</v>
      </c>
      <c r="L273" s="658">
        <f>Bhn!$M$25</f>
        <v>40000</v>
      </c>
      <c r="M273" s="658">
        <f t="shared" si="12"/>
        <v>14000</v>
      </c>
      <c r="N273" s="657"/>
      <c r="O273" s="576"/>
      <c r="P273" s="576"/>
      <c r="X273" s="564"/>
      <c r="AD273" s="564"/>
      <c r="AE273" s="564"/>
      <c r="AF273" s="564"/>
      <c r="AQ273" s="564"/>
      <c r="AV273" s="564"/>
      <c r="AZ273" s="564"/>
      <c r="BC273" s="564"/>
      <c r="BF273" s="564"/>
    </row>
    <row r="274" spans="3:58" s="561" customFormat="1" ht="15" customHeight="1">
      <c r="C274" s="587"/>
      <c r="D274" s="686"/>
      <c r="E274" s="588" t="s">
        <v>48</v>
      </c>
      <c r="F274" s="595"/>
      <c r="G274" s="590"/>
      <c r="H274" s="591"/>
      <c r="I274" s="592"/>
      <c r="J274" s="651"/>
      <c r="K274" s="598">
        <v>0.035</v>
      </c>
      <c r="L274" s="658">
        <f>Bhn!$M$26</f>
        <v>40000</v>
      </c>
      <c r="M274" s="658">
        <f t="shared" si="12"/>
        <v>1400.0000000000002</v>
      </c>
      <c r="N274" s="657"/>
      <c r="O274" s="576"/>
      <c r="P274" s="576"/>
      <c r="X274" s="564"/>
      <c r="AD274" s="564"/>
      <c r="AE274" s="564"/>
      <c r="AF274" s="564"/>
      <c r="AQ274" s="564"/>
      <c r="AV274" s="564"/>
      <c r="AZ274" s="564"/>
      <c r="BC274" s="564"/>
      <c r="BF274" s="564"/>
    </row>
    <row r="275" spans="3:58" s="561" customFormat="1" ht="15" customHeight="1">
      <c r="C275" s="587"/>
      <c r="D275" s="686"/>
      <c r="E275" s="588" t="s">
        <v>43</v>
      </c>
      <c r="F275" s="595"/>
      <c r="G275" s="590"/>
      <c r="H275" s="591"/>
      <c r="I275" s="592"/>
      <c r="J275" s="651"/>
      <c r="K275" s="598">
        <v>0.62</v>
      </c>
      <c r="L275" s="658">
        <f>Bhn!$M$23</f>
        <v>30000</v>
      </c>
      <c r="M275" s="658">
        <f t="shared" si="12"/>
        <v>18600</v>
      </c>
      <c r="N275" s="657"/>
      <c r="O275" s="576"/>
      <c r="P275" s="576"/>
      <c r="X275" s="564"/>
      <c r="AD275" s="564"/>
      <c r="AE275" s="564"/>
      <c r="AF275" s="564"/>
      <c r="AQ275" s="564"/>
      <c r="AV275" s="564"/>
      <c r="AZ275" s="564"/>
      <c r="BC275" s="564"/>
      <c r="BF275" s="564"/>
    </row>
    <row r="276" spans="3:58" s="561" customFormat="1" ht="15" customHeight="1">
      <c r="C276" s="587"/>
      <c r="D276" s="686"/>
      <c r="E276" s="588" t="s">
        <v>46</v>
      </c>
      <c r="F276" s="595"/>
      <c r="G276" s="590"/>
      <c r="H276" s="591"/>
      <c r="I276" s="592"/>
      <c r="J276" s="651"/>
      <c r="K276" s="598">
        <v>0.03</v>
      </c>
      <c r="L276" s="658">
        <f>Bhn!$M$24</f>
        <v>40000</v>
      </c>
      <c r="M276" s="658">
        <f t="shared" si="12"/>
        <v>1200</v>
      </c>
      <c r="N276" s="659"/>
      <c r="O276" s="576"/>
      <c r="P276" s="576"/>
      <c r="X276" s="564"/>
      <c r="AD276" s="564"/>
      <c r="AE276" s="564"/>
      <c r="AF276" s="564"/>
      <c r="AQ276" s="564"/>
      <c r="AV276" s="564"/>
      <c r="AZ276" s="564"/>
      <c r="BC276" s="564"/>
      <c r="BF276" s="564"/>
    </row>
    <row r="277" spans="3:58" s="578" customFormat="1" ht="15" customHeight="1">
      <c r="C277" s="694">
        <f>+C268+1</f>
        <v>33</v>
      </c>
      <c r="D277" s="688"/>
      <c r="E277" s="687" t="s">
        <v>900</v>
      </c>
      <c r="F277" s="691"/>
      <c r="G277" s="689"/>
      <c r="H277" s="693"/>
      <c r="I277" s="654" t="s">
        <v>7</v>
      </c>
      <c r="J277" s="655" t="s">
        <v>150</v>
      </c>
      <c r="K277" s="661"/>
      <c r="L277" s="659"/>
      <c r="M277" s="659"/>
      <c r="N277" s="657">
        <f>SUM(M278:M285)</f>
        <v>95758</v>
      </c>
      <c r="O277" s="579"/>
      <c r="P277" s="579"/>
      <c r="X277" s="580"/>
      <c r="AD277" s="580"/>
      <c r="AE277" s="580"/>
      <c r="AF277" s="580"/>
      <c r="AQ277" s="580"/>
      <c r="AV277" s="580"/>
      <c r="AZ277" s="580"/>
      <c r="BC277" s="580"/>
      <c r="BF277" s="580"/>
    </row>
    <row r="278" spans="3:58" s="561" customFormat="1" ht="15" customHeight="1">
      <c r="C278" s="587"/>
      <c r="D278" s="686"/>
      <c r="E278" s="588" t="s">
        <v>901</v>
      </c>
      <c r="F278" s="595"/>
      <c r="G278" s="590"/>
      <c r="H278" s="591"/>
      <c r="I278" s="592"/>
      <c r="J278" s="593" t="s">
        <v>149</v>
      </c>
      <c r="K278" s="598">
        <v>1</v>
      </c>
      <c r="L278" s="658">
        <f>Bhn!M112</f>
        <v>45000</v>
      </c>
      <c r="M278" s="658">
        <f aca="true" t="shared" si="13" ref="M278:M285">K278*L278</f>
        <v>45000</v>
      </c>
      <c r="N278" s="657"/>
      <c r="O278" s="576"/>
      <c r="P278" s="576"/>
      <c r="X278" s="564"/>
      <c r="AD278" s="564"/>
      <c r="AE278" s="564"/>
      <c r="AF278" s="564"/>
      <c r="AQ278" s="564"/>
      <c r="AV278" s="564"/>
      <c r="AZ278" s="564"/>
      <c r="BC278" s="564"/>
      <c r="BF278" s="564"/>
    </row>
    <row r="279" spans="3:58" s="561" customFormat="1" ht="15" customHeight="1">
      <c r="C279" s="587"/>
      <c r="D279" s="686"/>
      <c r="E279" s="588" t="s">
        <v>66</v>
      </c>
      <c r="F279" s="595"/>
      <c r="G279" s="590"/>
      <c r="H279" s="591"/>
      <c r="I279" s="592"/>
      <c r="J279" s="593" t="s">
        <v>140</v>
      </c>
      <c r="K279" s="598">
        <f>11.38/40</f>
        <v>0.28450000000000003</v>
      </c>
      <c r="L279" s="658">
        <f>Bhn!$M$44</f>
        <v>39000</v>
      </c>
      <c r="M279" s="658">
        <f t="shared" si="13"/>
        <v>11095.500000000002</v>
      </c>
      <c r="N279" s="657"/>
      <c r="O279" s="576"/>
      <c r="P279" s="576"/>
      <c r="X279" s="564"/>
      <c r="AD279" s="564"/>
      <c r="AE279" s="564"/>
      <c r="AF279" s="564"/>
      <c r="AQ279" s="564"/>
      <c r="AV279" s="564"/>
      <c r="AZ279" s="564"/>
      <c r="BC279" s="564"/>
      <c r="BF279" s="564"/>
    </row>
    <row r="280" spans="3:58" s="561" customFormat="1" ht="15" customHeight="1">
      <c r="C280" s="587"/>
      <c r="D280" s="686"/>
      <c r="E280" s="588" t="s">
        <v>60</v>
      </c>
      <c r="F280" s="595"/>
      <c r="G280" s="590"/>
      <c r="H280" s="591"/>
      <c r="I280" s="592"/>
      <c r="J280" s="593" t="s">
        <v>134</v>
      </c>
      <c r="K280" s="598">
        <v>0.042</v>
      </c>
      <c r="L280" s="658">
        <f>Bhn!$M$39</f>
        <v>100000</v>
      </c>
      <c r="M280" s="658">
        <f t="shared" si="13"/>
        <v>4200</v>
      </c>
      <c r="N280" s="657"/>
      <c r="O280" s="576"/>
      <c r="P280" s="576"/>
      <c r="X280" s="564"/>
      <c r="AD280" s="564"/>
      <c r="AE280" s="564"/>
      <c r="AF280" s="564"/>
      <c r="AQ280" s="564"/>
      <c r="AV280" s="564"/>
      <c r="AZ280" s="564"/>
      <c r="BC280" s="564"/>
      <c r="BF280" s="564"/>
    </row>
    <row r="281" spans="3:58" s="561" customFormat="1" ht="15" customHeight="1">
      <c r="C281" s="587"/>
      <c r="D281" s="686"/>
      <c r="E281" s="588" t="s">
        <v>68</v>
      </c>
      <c r="F281" s="595"/>
      <c r="G281" s="590"/>
      <c r="H281" s="591"/>
      <c r="I281" s="592"/>
      <c r="J281" s="593" t="s">
        <v>140</v>
      </c>
      <c r="K281" s="598">
        <f>1.5/40</f>
        <v>0.0375</v>
      </c>
      <c r="L281" s="658">
        <f>Bhn!$M$45</f>
        <v>7000</v>
      </c>
      <c r="M281" s="658">
        <f t="shared" si="13"/>
        <v>262.5</v>
      </c>
      <c r="N281" s="659"/>
      <c r="O281" s="576"/>
      <c r="P281" s="576"/>
      <c r="X281" s="564"/>
      <c r="AD281" s="564"/>
      <c r="AE281" s="564"/>
      <c r="AF281" s="564"/>
      <c r="AQ281" s="564"/>
      <c r="AV281" s="564"/>
      <c r="AZ281" s="564"/>
      <c r="BC281" s="564"/>
      <c r="BF281" s="564"/>
    </row>
    <row r="282" spans="3:58" s="561" customFormat="1" ht="15" customHeight="1">
      <c r="C282" s="587"/>
      <c r="D282" s="686"/>
      <c r="E282" s="588" t="s">
        <v>47</v>
      </c>
      <c r="F282" s="595"/>
      <c r="G282" s="590"/>
      <c r="H282" s="591"/>
      <c r="I282" s="592"/>
      <c r="J282" s="651"/>
      <c r="K282" s="598">
        <v>0.35</v>
      </c>
      <c r="L282" s="658">
        <f>Bhn!$M$25</f>
        <v>40000</v>
      </c>
      <c r="M282" s="658">
        <f t="shared" si="13"/>
        <v>14000</v>
      </c>
      <c r="N282" s="657"/>
      <c r="O282" s="576"/>
      <c r="P282" s="576"/>
      <c r="X282" s="564"/>
      <c r="AD282" s="564"/>
      <c r="AE282" s="564"/>
      <c r="AF282" s="564"/>
      <c r="AQ282" s="564"/>
      <c r="AV282" s="564"/>
      <c r="AZ282" s="564"/>
      <c r="BC282" s="564"/>
      <c r="BF282" s="564"/>
    </row>
    <row r="283" spans="3:58" s="561" customFormat="1" ht="15" customHeight="1">
      <c r="C283" s="587"/>
      <c r="D283" s="686"/>
      <c r="E283" s="588" t="s">
        <v>48</v>
      </c>
      <c r="F283" s="595"/>
      <c r="G283" s="590"/>
      <c r="H283" s="591"/>
      <c r="I283" s="592"/>
      <c r="J283" s="651"/>
      <c r="K283" s="598">
        <v>0.035</v>
      </c>
      <c r="L283" s="658">
        <f>Bhn!$M$26</f>
        <v>40000</v>
      </c>
      <c r="M283" s="658">
        <f t="shared" si="13"/>
        <v>1400.0000000000002</v>
      </c>
      <c r="N283" s="657"/>
      <c r="O283" s="576"/>
      <c r="P283" s="576"/>
      <c r="X283" s="564"/>
      <c r="AD283" s="564"/>
      <c r="AE283" s="564"/>
      <c r="AF283" s="564"/>
      <c r="AQ283" s="564"/>
      <c r="AV283" s="564"/>
      <c r="AZ283" s="564"/>
      <c r="BC283" s="564"/>
      <c r="BF283" s="564"/>
    </row>
    <row r="284" spans="3:58" s="561" customFormat="1" ht="15" customHeight="1">
      <c r="C284" s="587"/>
      <c r="D284" s="686"/>
      <c r="E284" s="588" t="s">
        <v>43</v>
      </c>
      <c r="F284" s="595"/>
      <c r="G284" s="590"/>
      <c r="H284" s="591"/>
      <c r="I284" s="592"/>
      <c r="J284" s="651"/>
      <c r="K284" s="598">
        <v>0.62</v>
      </c>
      <c r="L284" s="658">
        <f>Bhn!$M$23</f>
        <v>30000</v>
      </c>
      <c r="M284" s="658">
        <f t="shared" si="13"/>
        <v>18600</v>
      </c>
      <c r="N284" s="657"/>
      <c r="O284" s="576"/>
      <c r="P284" s="576"/>
      <c r="X284" s="564"/>
      <c r="AD284" s="564"/>
      <c r="AE284" s="564"/>
      <c r="AF284" s="564"/>
      <c r="AQ284" s="564"/>
      <c r="AV284" s="564"/>
      <c r="AZ284" s="564"/>
      <c r="BC284" s="564"/>
      <c r="BF284" s="564"/>
    </row>
    <row r="285" spans="3:58" s="561" customFormat="1" ht="15" customHeight="1">
      <c r="C285" s="587"/>
      <c r="D285" s="686"/>
      <c r="E285" s="588" t="s">
        <v>46</v>
      </c>
      <c r="F285" s="595"/>
      <c r="G285" s="590"/>
      <c r="H285" s="591"/>
      <c r="I285" s="592"/>
      <c r="J285" s="651"/>
      <c r="K285" s="598">
        <v>0.03</v>
      </c>
      <c r="L285" s="658">
        <f>Bhn!$M$24</f>
        <v>40000</v>
      </c>
      <c r="M285" s="658">
        <f t="shared" si="13"/>
        <v>1200</v>
      </c>
      <c r="N285" s="659"/>
      <c r="O285" s="576"/>
      <c r="P285" s="576"/>
      <c r="X285" s="564"/>
      <c r="AD285" s="564"/>
      <c r="AE285" s="564"/>
      <c r="AF285" s="564"/>
      <c r="AQ285" s="564"/>
      <c r="AV285" s="564"/>
      <c r="AZ285" s="564"/>
      <c r="BC285" s="564"/>
      <c r="BF285" s="564"/>
    </row>
    <row r="286" spans="3:58" s="578" customFormat="1" ht="15" customHeight="1">
      <c r="C286" s="694">
        <f>+C277+1</f>
        <v>34</v>
      </c>
      <c r="D286" s="688"/>
      <c r="E286" s="687" t="s">
        <v>523</v>
      </c>
      <c r="F286" s="691"/>
      <c r="G286" s="689"/>
      <c r="H286" s="693"/>
      <c r="I286" s="654" t="s">
        <v>7</v>
      </c>
      <c r="J286" s="655" t="s">
        <v>150</v>
      </c>
      <c r="K286" s="661"/>
      <c r="L286" s="659"/>
      <c r="M286" s="659"/>
      <c r="N286" s="657">
        <f>SUM(M287:M294)</f>
        <v>87758</v>
      </c>
      <c r="O286" s="579"/>
      <c r="P286" s="579"/>
      <c r="X286" s="580"/>
      <c r="AD286" s="580"/>
      <c r="AE286" s="580"/>
      <c r="AF286" s="580"/>
      <c r="AQ286" s="580"/>
      <c r="AV286" s="580"/>
      <c r="AZ286" s="580"/>
      <c r="BC286" s="580"/>
      <c r="BF286" s="580"/>
    </row>
    <row r="287" spans="3:58" s="561" customFormat="1" ht="15" customHeight="1">
      <c r="C287" s="587"/>
      <c r="D287" s="686"/>
      <c r="E287" s="588" t="s">
        <v>901</v>
      </c>
      <c r="F287" s="595"/>
      <c r="G287" s="590"/>
      <c r="H287" s="591"/>
      <c r="I287" s="592"/>
      <c r="J287" s="593" t="s">
        <v>149</v>
      </c>
      <c r="K287" s="598">
        <v>1</v>
      </c>
      <c r="L287" s="658">
        <f>+Bhn!M113</f>
        <v>37000</v>
      </c>
      <c r="M287" s="658">
        <f aca="true" t="shared" si="14" ref="M287:M294">K287*L287</f>
        <v>37000</v>
      </c>
      <c r="N287" s="657"/>
      <c r="O287" s="576"/>
      <c r="P287" s="576"/>
      <c r="X287" s="564"/>
      <c r="AD287" s="564"/>
      <c r="AE287" s="564"/>
      <c r="AF287" s="564"/>
      <c r="AQ287" s="564"/>
      <c r="AV287" s="564"/>
      <c r="AZ287" s="564"/>
      <c r="BC287" s="564"/>
      <c r="BF287" s="564"/>
    </row>
    <row r="288" spans="3:58" s="561" customFormat="1" ht="15" customHeight="1">
      <c r="C288" s="587"/>
      <c r="D288" s="686"/>
      <c r="E288" s="588" t="s">
        <v>66</v>
      </c>
      <c r="F288" s="595"/>
      <c r="G288" s="590"/>
      <c r="H288" s="591"/>
      <c r="I288" s="592"/>
      <c r="J288" s="593" t="s">
        <v>140</v>
      </c>
      <c r="K288" s="598">
        <f>11.38/40</f>
        <v>0.28450000000000003</v>
      </c>
      <c r="L288" s="658">
        <f>Bhn!$M$44</f>
        <v>39000</v>
      </c>
      <c r="M288" s="658">
        <f t="shared" si="14"/>
        <v>11095.500000000002</v>
      </c>
      <c r="N288" s="657"/>
      <c r="O288" s="576"/>
      <c r="P288" s="576"/>
      <c r="X288" s="564"/>
      <c r="AD288" s="564"/>
      <c r="AE288" s="564"/>
      <c r="AF288" s="564"/>
      <c r="AQ288" s="564"/>
      <c r="AV288" s="564"/>
      <c r="AZ288" s="564"/>
      <c r="BC288" s="564"/>
      <c r="BF288" s="564"/>
    </row>
    <row r="289" spans="3:58" s="561" customFormat="1" ht="15" customHeight="1">
      <c r="C289" s="587"/>
      <c r="D289" s="686"/>
      <c r="E289" s="588" t="s">
        <v>60</v>
      </c>
      <c r="F289" s="595"/>
      <c r="G289" s="590"/>
      <c r="H289" s="591"/>
      <c r="I289" s="592"/>
      <c r="J289" s="593" t="s">
        <v>134</v>
      </c>
      <c r="K289" s="598">
        <v>0.042</v>
      </c>
      <c r="L289" s="658">
        <f>Bhn!$M$39</f>
        <v>100000</v>
      </c>
      <c r="M289" s="658">
        <f t="shared" si="14"/>
        <v>4200</v>
      </c>
      <c r="N289" s="657"/>
      <c r="O289" s="576"/>
      <c r="P289" s="576"/>
      <c r="X289" s="564"/>
      <c r="AD289" s="564"/>
      <c r="AE289" s="564"/>
      <c r="AF289" s="564"/>
      <c r="AQ289" s="564"/>
      <c r="AV289" s="564"/>
      <c r="AZ289" s="564"/>
      <c r="BC289" s="564"/>
      <c r="BF289" s="564"/>
    </row>
    <row r="290" spans="3:58" s="561" customFormat="1" ht="15" customHeight="1">
      <c r="C290" s="587"/>
      <c r="D290" s="686"/>
      <c r="E290" s="588" t="s">
        <v>68</v>
      </c>
      <c r="F290" s="595"/>
      <c r="G290" s="590"/>
      <c r="H290" s="591"/>
      <c r="I290" s="592"/>
      <c r="J290" s="593" t="s">
        <v>140</v>
      </c>
      <c r="K290" s="598">
        <f>1.5/40</f>
        <v>0.0375</v>
      </c>
      <c r="L290" s="658">
        <f>Bhn!$M$45</f>
        <v>7000</v>
      </c>
      <c r="M290" s="658">
        <f t="shared" si="14"/>
        <v>262.5</v>
      </c>
      <c r="N290" s="659"/>
      <c r="O290" s="576"/>
      <c r="P290" s="576"/>
      <c r="X290" s="564"/>
      <c r="AD290" s="564"/>
      <c r="AE290" s="564"/>
      <c r="AF290" s="564"/>
      <c r="AQ290" s="564"/>
      <c r="AV290" s="564"/>
      <c r="AZ290" s="564"/>
      <c r="BC290" s="564"/>
      <c r="BF290" s="564"/>
    </row>
    <row r="291" spans="3:58" s="561" customFormat="1" ht="15" customHeight="1">
      <c r="C291" s="587"/>
      <c r="D291" s="686"/>
      <c r="E291" s="588" t="s">
        <v>47</v>
      </c>
      <c r="F291" s="595"/>
      <c r="G291" s="590"/>
      <c r="H291" s="591"/>
      <c r="I291" s="592"/>
      <c r="J291" s="651"/>
      <c r="K291" s="598">
        <v>0.35</v>
      </c>
      <c r="L291" s="658">
        <f>Bhn!$M$25</f>
        <v>40000</v>
      </c>
      <c r="M291" s="658">
        <f t="shared" si="14"/>
        <v>14000</v>
      </c>
      <c r="N291" s="657"/>
      <c r="O291" s="576"/>
      <c r="P291" s="576"/>
      <c r="X291" s="564"/>
      <c r="AD291" s="564"/>
      <c r="AE291" s="564"/>
      <c r="AF291" s="564"/>
      <c r="AQ291" s="564"/>
      <c r="AV291" s="564"/>
      <c r="AZ291" s="564"/>
      <c r="BC291" s="564"/>
      <c r="BF291" s="564"/>
    </row>
    <row r="292" spans="3:58" s="561" customFormat="1" ht="15" customHeight="1">
      <c r="C292" s="587"/>
      <c r="D292" s="686"/>
      <c r="E292" s="588" t="s">
        <v>48</v>
      </c>
      <c r="F292" s="595"/>
      <c r="G292" s="590"/>
      <c r="H292" s="591"/>
      <c r="I292" s="592"/>
      <c r="J292" s="651"/>
      <c r="K292" s="598">
        <v>0.035</v>
      </c>
      <c r="L292" s="658">
        <f>Bhn!$M$26</f>
        <v>40000</v>
      </c>
      <c r="M292" s="658">
        <f t="shared" si="14"/>
        <v>1400.0000000000002</v>
      </c>
      <c r="N292" s="657"/>
      <c r="O292" s="576"/>
      <c r="P292" s="576"/>
      <c r="X292" s="564"/>
      <c r="AD292" s="564"/>
      <c r="AE292" s="564"/>
      <c r="AF292" s="564"/>
      <c r="AQ292" s="564"/>
      <c r="AV292" s="564"/>
      <c r="AZ292" s="564"/>
      <c r="BC292" s="564"/>
      <c r="BF292" s="564"/>
    </row>
    <row r="293" spans="3:58" s="561" customFormat="1" ht="15" customHeight="1">
      <c r="C293" s="587"/>
      <c r="D293" s="686"/>
      <c r="E293" s="588" t="s">
        <v>43</v>
      </c>
      <c r="F293" s="595"/>
      <c r="G293" s="590"/>
      <c r="H293" s="591"/>
      <c r="I293" s="592"/>
      <c r="J293" s="651"/>
      <c r="K293" s="598">
        <v>0.62</v>
      </c>
      <c r="L293" s="658">
        <f>Bhn!$M$23</f>
        <v>30000</v>
      </c>
      <c r="M293" s="658">
        <f t="shared" si="14"/>
        <v>18600</v>
      </c>
      <c r="N293" s="657"/>
      <c r="O293" s="576"/>
      <c r="P293" s="576"/>
      <c r="X293" s="564"/>
      <c r="AD293" s="564"/>
      <c r="AE293" s="564"/>
      <c r="AF293" s="564"/>
      <c r="AQ293" s="564"/>
      <c r="AV293" s="564"/>
      <c r="AZ293" s="564"/>
      <c r="BC293" s="564"/>
      <c r="BF293" s="564"/>
    </row>
    <row r="294" spans="3:58" s="561" customFormat="1" ht="15" customHeight="1">
      <c r="C294" s="587"/>
      <c r="D294" s="686"/>
      <c r="E294" s="588" t="s">
        <v>46</v>
      </c>
      <c r="F294" s="595"/>
      <c r="G294" s="590"/>
      <c r="H294" s="591"/>
      <c r="I294" s="592"/>
      <c r="J294" s="651"/>
      <c r="K294" s="598">
        <v>0.03</v>
      </c>
      <c r="L294" s="658">
        <f>Bhn!$M$24</f>
        <v>40000</v>
      </c>
      <c r="M294" s="658">
        <f t="shared" si="14"/>
        <v>1200</v>
      </c>
      <c r="N294" s="659"/>
      <c r="O294" s="576"/>
      <c r="P294" s="576"/>
      <c r="X294" s="564"/>
      <c r="AD294" s="564"/>
      <c r="AE294" s="564"/>
      <c r="AF294" s="564"/>
      <c r="AQ294" s="564"/>
      <c r="AV294" s="564"/>
      <c r="AZ294" s="564"/>
      <c r="BC294" s="564"/>
      <c r="BF294" s="564"/>
    </row>
    <row r="295" spans="3:58" s="561" customFormat="1" ht="15" customHeight="1">
      <c r="C295" s="587"/>
      <c r="D295" s="686"/>
      <c r="E295" s="588"/>
      <c r="F295" s="595"/>
      <c r="G295" s="590"/>
      <c r="H295" s="591"/>
      <c r="I295" s="592"/>
      <c r="J295" s="651"/>
      <c r="K295" s="598"/>
      <c r="L295" s="658"/>
      <c r="M295" s="658"/>
      <c r="N295" s="659"/>
      <c r="O295" s="576"/>
      <c r="P295" s="576"/>
      <c r="X295" s="564"/>
      <c r="AD295" s="564"/>
      <c r="AE295" s="564"/>
      <c r="AF295" s="564"/>
      <c r="AQ295" s="564"/>
      <c r="AV295" s="564"/>
      <c r="AZ295" s="564"/>
      <c r="BC295" s="564"/>
      <c r="BF295" s="564"/>
    </row>
    <row r="296" spans="3:58" s="578" customFormat="1" ht="15" customHeight="1">
      <c r="C296" s="694">
        <f>+C277+1</f>
        <v>34</v>
      </c>
      <c r="D296" s="688"/>
      <c r="E296" s="687" t="s">
        <v>902</v>
      </c>
      <c r="F296" s="691"/>
      <c r="G296" s="689"/>
      <c r="H296" s="693"/>
      <c r="I296" s="654"/>
      <c r="J296" s="655" t="s">
        <v>2</v>
      </c>
      <c r="K296" s="661"/>
      <c r="L296" s="659"/>
      <c r="M296" s="659"/>
      <c r="N296" s="657">
        <f>SUM(M297:M304)</f>
        <v>73468.75</v>
      </c>
      <c r="O296" s="579"/>
      <c r="P296" s="579"/>
      <c r="X296" s="580"/>
      <c r="AD296" s="580"/>
      <c r="AE296" s="580"/>
      <c r="AF296" s="580"/>
      <c r="AQ296" s="580"/>
      <c r="AV296" s="580"/>
      <c r="AZ296" s="580"/>
      <c r="BC296" s="580"/>
      <c r="BF296" s="580"/>
    </row>
    <row r="297" spans="3:58" s="561" customFormat="1" ht="15" customHeight="1">
      <c r="C297" s="587"/>
      <c r="D297" s="686"/>
      <c r="E297" s="588" t="s">
        <v>903</v>
      </c>
      <c r="F297" s="595"/>
      <c r="G297" s="590"/>
      <c r="H297" s="591"/>
      <c r="I297" s="592"/>
      <c r="J297" s="593" t="s">
        <v>139</v>
      </c>
      <c r="K297" s="598">
        <v>4</v>
      </c>
      <c r="L297" s="658">
        <f>Bhn!M119</f>
        <v>16000</v>
      </c>
      <c r="M297" s="658">
        <f aca="true" t="shared" si="15" ref="M297:M304">K297*L297</f>
        <v>64000</v>
      </c>
      <c r="N297" s="657"/>
      <c r="O297" s="576"/>
      <c r="P297" s="576"/>
      <c r="X297" s="564"/>
      <c r="AD297" s="564"/>
      <c r="AE297" s="564"/>
      <c r="AF297" s="564"/>
      <c r="AQ297" s="564"/>
      <c r="AV297" s="564"/>
      <c r="AZ297" s="564"/>
      <c r="BC297" s="564"/>
      <c r="BF297" s="564"/>
    </row>
    <row r="298" spans="3:58" s="561" customFormat="1" ht="15" customHeight="1">
      <c r="C298" s="587"/>
      <c r="D298" s="686"/>
      <c r="E298" s="588" t="s">
        <v>66</v>
      </c>
      <c r="F298" s="595"/>
      <c r="G298" s="590"/>
      <c r="H298" s="591"/>
      <c r="I298" s="592"/>
      <c r="J298" s="593" t="s">
        <v>140</v>
      </c>
      <c r="K298" s="598">
        <f>1.65/40</f>
        <v>0.041249999999999995</v>
      </c>
      <c r="L298" s="658">
        <f>Bhn!$M$44</f>
        <v>39000</v>
      </c>
      <c r="M298" s="658">
        <f t="shared" si="15"/>
        <v>1608.7499999999998</v>
      </c>
      <c r="N298" s="657"/>
      <c r="O298" s="576"/>
      <c r="P298" s="576"/>
      <c r="X298" s="564"/>
      <c r="AD298" s="564"/>
      <c r="AE298" s="564"/>
      <c r="AF298" s="564"/>
      <c r="AQ298" s="564"/>
      <c r="AV298" s="564"/>
      <c r="AZ298" s="564"/>
      <c r="BC298" s="564"/>
      <c r="BF298" s="564"/>
    </row>
    <row r="299" spans="3:58" s="561" customFormat="1" ht="15" customHeight="1">
      <c r="C299" s="587"/>
      <c r="D299" s="686"/>
      <c r="E299" s="588" t="s">
        <v>60</v>
      </c>
      <c r="F299" s="595"/>
      <c r="G299" s="590"/>
      <c r="H299" s="591"/>
      <c r="I299" s="592"/>
      <c r="J299" s="593" t="s">
        <v>134</v>
      </c>
      <c r="K299" s="598">
        <v>0.0032</v>
      </c>
      <c r="L299" s="658">
        <f>Bhn!$M$39</f>
        <v>100000</v>
      </c>
      <c r="M299" s="658">
        <f t="shared" si="15"/>
        <v>320</v>
      </c>
      <c r="N299" s="657"/>
      <c r="O299" s="576"/>
      <c r="P299" s="576"/>
      <c r="X299" s="564"/>
      <c r="AD299" s="564"/>
      <c r="AE299" s="564"/>
      <c r="AF299" s="564"/>
      <c r="AQ299" s="564"/>
      <c r="AV299" s="564"/>
      <c r="AZ299" s="564"/>
      <c r="BC299" s="564"/>
      <c r="BF299" s="564"/>
    </row>
    <row r="300" spans="3:58" s="561" customFormat="1" ht="15" customHeight="1">
      <c r="C300" s="587"/>
      <c r="D300" s="686"/>
      <c r="E300" s="588" t="s">
        <v>68</v>
      </c>
      <c r="F300" s="595"/>
      <c r="G300" s="590"/>
      <c r="H300" s="591"/>
      <c r="I300" s="592"/>
      <c r="J300" s="593" t="s">
        <v>140</v>
      </c>
      <c r="K300" s="598">
        <v>0.1</v>
      </c>
      <c r="L300" s="658">
        <f>Bhn!$M$45</f>
        <v>7000</v>
      </c>
      <c r="M300" s="658">
        <f t="shared" si="15"/>
        <v>700</v>
      </c>
      <c r="N300" s="659"/>
      <c r="O300" s="576"/>
      <c r="P300" s="576"/>
      <c r="X300" s="564"/>
      <c r="AD300" s="564"/>
      <c r="AE300" s="564"/>
      <c r="AF300" s="564"/>
      <c r="AQ300" s="564"/>
      <c r="AV300" s="564"/>
      <c r="AZ300" s="564"/>
      <c r="BC300" s="564"/>
      <c r="BF300" s="564"/>
    </row>
    <row r="301" spans="3:58" s="561" customFormat="1" ht="15" customHeight="1">
      <c r="C301" s="587"/>
      <c r="D301" s="686"/>
      <c r="E301" s="588" t="s">
        <v>47</v>
      </c>
      <c r="F301" s="595"/>
      <c r="G301" s="590"/>
      <c r="H301" s="591"/>
      <c r="I301" s="592"/>
      <c r="J301" s="651"/>
      <c r="K301" s="598">
        <v>0.09</v>
      </c>
      <c r="L301" s="658">
        <f>Bhn!$M$25</f>
        <v>40000</v>
      </c>
      <c r="M301" s="658">
        <f t="shared" si="15"/>
        <v>3600</v>
      </c>
      <c r="N301" s="657"/>
      <c r="O301" s="576"/>
      <c r="P301" s="576"/>
      <c r="X301" s="564"/>
      <c r="AD301" s="564"/>
      <c r="AE301" s="564"/>
      <c r="AF301" s="564"/>
      <c r="AQ301" s="564"/>
      <c r="AV301" s="564"/>
      <c r="AZ301" s="564"/>
      <c r="BC301" s="564"/>
      <c r="BF301" s="564"/>
    </row>
    <row r="302" spans="3:58" s="561" customFormat="1" ht="15" customHeight="1">
      <c r="C302" s="587"/>
      <c r="D302" s="686"/>
      <c r="E302" s="588" t="s">
        <v>48</v>
      </c>
      <c r="F302" s="595"/>
      <c r="G302" s="590"/>
      <c r="H302" s="591"/>
      <c r="I302" s="592"/>
      <c r="J302" s="651"/>
      <c r="K302" s="598">
        <v>0.009</v>
      </c>
      <c r="L302" s="658">
        <f>Bhn!$M$26</f>
        <v>40000</v>
      </c>
      <c r="M302" s="658">
        <f t="shared" si="15"/>
        <v>360</v>
      </c>
      <c r="N302" s="657"/>
      <c r="O302" s="576"/>
      <c r="P302" s="576"/>
      <c r="X302" s="564"/>
      <c r="AD302" s="564"/>
      <c r="AE302" s="564"/>
      <c r="AF302" s="564"/>
      <c r="AQ302" s="564"/>
      <c r="AV302" s="564"/>
      <c r="AZ302" s="564"/>
      <c r="BC302" s="564"/>
      <c r="BF302" s="564"/>
    </row>
    <row r="303" spans="3:58" s="561" customFormat="1" ht="15" customHeight="1">
      <c r="C303" s="587"/>
      <c r="D303" s="686"/>
      <c r="E303" s="588" t="s">
        <v>43</v>
      </c>
      <c r="F303" s="595"/>
      <c r="G303" s="590"/>
      <c r="H303" s="591"/>
      <c r="I303" s="592"/>
      <c r="J303" s="651"/>
      <c r="K303" s="598">
        <v>0.09</v>
      </c>
      <c r="L303" s="658">
        <f>Bhn!$M$23</f>
        <v>30000</v>
      </c>
      <c r="M303" s="658">
        <f t="shared" si="15"/>
        <v>2700</v>
      </c>
      <c r="N303" s="657"/>
      <c r="O303" s="576"/>
      <c r="P303" s="576"/>
      <c r="X303" s="564"/>
      <c r="AD303" s="564"/>
      <c r="AE303" s="564"/>
      <c r="AF303" s="564"/>
      <c r="AQ303" s="564"/>
      <c r="AV303" s="564"/>
      <c r="AZ303" s="564"/>
      <c r="BC303" s="564"/>
      <c r="BF303" s="564"/>
    </row>
    <row r="304" spans="3:58" s="561" customFormat="1" ht="15" customHeight="1">
      <c r="C304" s="587"/>
      <c r="D304" s="686"/>
      <c r="E304" s="588" t="s">
        <v>46</v>
      </c>
      <c r="F304" s="595"/>
      <c r="G304" s="590"/>
      <c r="H304" s="591"/>
      <c r="I304" s="592"/>
      <c r="J304" s="651"/>
      <c r="K304" s="598">
        <v>0.0045</v>
      </c>
      <c r="L304" s="658">
        <f>Bhn!$M$24</f>
        <v>40000</v>
      </c>
      <c r="M304" s="658">
        <f t="shared" si="15"/>
        <v>180</v>
      </c>
      <c r="N304" s="659"/>
      <c r="O304" s="576"/>
      <c r="P304" s="576"/>
      <c r="X304" s="564"/>
      <c r="AD304" s="564"/>
      <c r="AE304" s="564"/>
      <c r="AF304" s="564"/>
      <c r="AQ304" s="564"/>
      <c r="AV304" s="564"/>
      <c r="AZ304" s="564"/>
      <c r="BC304" s="564"/>
      <c r="BF304" s="564"/>
    </row>
    <row r="305" spans="3:58" s="561" customFormat="1" ht="15" customHeight="1">
      <c r="C305" s="587"/>
      <c r="D305" s="686"/>
      <c r="E305" s="588"/>
      <c r="F305" s="595"/>
      <c r="G305" s="590"/>
      <c r="H305" s="591"/>
      <c r="I305" s="592"/>
      <c r="J305" s="651"/>
      <c r="K305" s="598"/>
      <c r="L305" s="658"/>
      <c r="M305" s="658"/>
      <c r="N305" s="659"/>
      <c r="O305" s="576"/>
      <c r="P305" s="576"/>
      <c r="X305" s="564"/>
      <c r="AD305" s="564"/>
      <c r="AE305" s="564"/>
      <c r="AF305" s="564"/>
      <c r="AQ305" s="564"/>
      <c r="AV305" s="564"/>
      <c r="AZ305" s="564"/>
      <c r="BC305" s="564"/>
      <c r="BF305" s="564"/>
    </row>
    <row r="306" spans="3:31" s="578" customFormat="1" ht="15" customHeight="1">
      <c r="C306" s="694">
        <f>+C296+1</f>
        <v>35</v>
      </c>
      <c r="D306" s="694"/>
      <c r="E306" s="695" t="s">
        <v>914</v>
      </c>
      <c r="F306" s="691"/>
      <c r="G306" s="691"/>
      <c r="H306" s="690"/>
      <c r="I306" s="669" t="s">
        <v>7</v>
      </c>
      <c r="J306" s="661"/>
      <c r="K306" s="670"/>
      <c r="L306" s="659"/>
      <c r="M306" s="659"/>
      <c r="N306" s="670">
        <f>SUM(M307:M313)</f>
        <v>167329</v>
      </c>
      <c r="O306" s="579"/>
      <c r="P306" s="579"/>
      <c r="AD306" s="580"/>
      <c r="AE306" s="580"/>
    </row>
    <row r="307" spans="3:31" s="561" customFormat="1" ht="15" customHeight="1">
      <c r="C307" s="587"/>
      <c r="D307" s="587"/>
      <c r="E307" s="696" t="s">
        <v>916</v>
      </c>
      <c r="F307" s="595"/>
      <c r="G307" s="595"/>
      <c r="H307" s="596"/>
      <c r="I307" s="597"/>
      <c r="J307" s="597" t="s">
        <v>149</v>
      </c>
      <c r="K307" s="599">
        <v>1</v>
      </c>
      <c r="L307" s="658">
        <f>Bhn!M165</f>
        <v>110000</v>
      </c>
      <c r="M307" s="658">
        <f aca="true" t="shared" si="16" ref="M307:M313">K307*L307</f>
        <v>110000</v>
      </c>
      <c r="N307" s="670"/>
      <c r="O307" s="576"/>
      <c r="P307" s="576"/>
      <c r="AD307" s="564"/>
      <c r="AE307" s="564"/>
    </row>
    <row r="308" spans="3:31" s="561" customFormat="1" ht="15" customHeight="1">
      <c r="C308" s="587"/>
      <c r="D308" s="587"/>
      <c r="E308" s="588" t="s">
        <v>66</v>
      </c>
      <c r="F308" s="595"/>
      <c r="G308" s="590"/>
      <c r="H308" s="591"/>
      <c r="I308" s="592"/>
      <c r="J308" s="593" t="s">
        <v>140</v>
      </c>
      <c r="K308" s="598">
        <f>12.44/40</f>
        <v>0.311</v>
      </c>
      <c r="L308" s="658">
        <f>Bhn!$M$44</f>
        <v>39000</v>
      </c>
      <c r="M308" s="658">
        <f t="shared" si="16"/>
        <v>12129</v>
      </c>
      <c r="N308" s="670"/>
      <c r="O308" s="576"/>
      <c r="P308" s="576"/>
      <c r="AD308" s="564"/>
      <c r="AE308" s="564"/>
    </row>
    <row r="309" spans="3:31" s="561" customFormat="1" ht="15" customHeight="1">
      <c r="C309" s="587"/>
      <c r="D309" s="587"/>
      <c r="E309" s="588" t="s">
        <v>60</v>
      </c>
      <c r="F309" s="595"/>
      <c r="G309" s="595"/>
      <c r="H309" s="596"/>
      <c r="I309" s="597"/>
      <c r="J309" s="597" t="s">
        <v>134</v>
      </c>
      <c r="K309" s="671">
        <v>0.025</v>
      </c>
      <c r="L309" s="658">
        <f>Bhn!$M$39</f>
        <v>100000</v>
      </c>
      <c r="M309" s="658">
        <f t="shared" si="16"/>
        <v>2500</v>
      </c>
      <c r="N309" s="670"/>
      <c r="O309" s="576"/>
      <c r="P309" s="576"/>
      <c r="AD309" s="564"/>
      <c r="AE309" s="564"/>
    </row>
    <row r="310" spans="3:31" s="561" customFormat="1" ht="15" customHeight="1">
      <c r="C310" s="587"/>
      <c r="D310" s="587"/>
      <c r="E310" s="696" t="s">
        <v>47</v>
      </c>
      <c r="F310" s="595"/>
      <c r="G310" s="595"/>
      <c r="H310" s="596"/>
      <c r="I310" s="597"/>
      <c r="J310" s="653"/>
      <c r="K310" s="671">
        <v>0.5</v>
      </c>
      <c r="L310" s="658">
        <f>Bhn!$M$25</f>
        <v>40000</v>
      </c>
      <c r="M310" s="658">
        <f t="shared" si="16"/>
        <v>20000</v>
      </c>
      <c r="N310" s="670"/>
      <c r="O310" s="576"/>
      <c r="P310" s="576"/>
      <c r="AD310" s="564"/>
      <c r="AE310" s="564"/>
    </row>
    <row r="311" spans="3:31" s="561" customFormat="1" ht="15" customHeight="1">
      <c r="C311" s="587"/>
      <c r="D311" s="587"/>
      <c r="E311" s="696" t="s">
        <v>48</v>
      </c>
      <c r="F311" s="595"/>
      <c r="G311" s="595"/>
      <c r="H311" s="596"/>
      <c r="I311" s="597"/>
      <c r="J311" s="653"/>
      <c r="K311" s="671">
        <v>0.05</v>
      </c>
      <c r="L311" s="658">
        <f>Bhn!$M$26</f>
        <v>40000</v>
      </c>
      <c r="M311" s="658">
        <f t="shared" si="16"/>
        <v>2000</v>
      </c>
      <c r="N311" s="670"/>
      <c r="O311" s="576"/>
      <c r="P311" s="576"/>
      <c r="AD311" s="564"/>
      <c r="AE311" s="564"/>
    </row>
    <row r="312" spans="3:31" s="561" customFormat="1" ht="15" customHeight="1">
      <c r="C312" s="587"/>
      <c r="D312" s="587"/>
      <c r="E312" s="696" t="s">
        <v>43</v>
      </c>
      <c r="F312" s="595"/>
      <c r="G312" s="595"/>
      <c r="H312" s="596"/>
      <c r="I312" s="597"/>
      <c r="J312" s="653"/>
      <c r="K312" s="671">
        <v>0.65</v>
      </c>
      <c r="L312" s="658">
        <f>Bhn!$M$23</f>
        <v>30000</v>
      </c>
      <c r="M312" s="658">
        <f t="shared" si="16"/>
        <v>19500</v>
      </c>
      <c r="N312" s="670"/>
      <c r="O312" s="576"/>
      <c r="P312" s="576"/>
      <c r="AD312" s="564"/>
      <c r="AE312" s="564"/>
    </row>
    <row r="313" spans="3:31" s="561" customFormat="1" ht="15" customHeight="1">
      <c r="C313" s="587"/>
      <c r="D313" s="587"/>
      <c r="E313" s="696" t="s">
        <v>46</v>
      </c>
      <c r="F313" s="595"/>
      <c r="G313" s="595"/>
      <c r="H313" s="596"/>
      <c r="I313" s="597"/>
      <c r="J313" s="653"/>
      <c r="K313" s="671">
        <v>0.03</v>
      </c>
      <c r="L313" s="658">
        <f>Bhn!$M$24</f>
        <v>40000</v>
      </c>
      <c r="M313" s="658">
        <f t="shared" si="16"/>
        <v>1200</v>
      </c>
      <c r="N313" s="670"/>
      <c r="O313" s="576"/>
      <c r="P313" s="576"/>
      <c r="AD313" s="564"/>
      <c r="AE313" s="564"/>
    </row>
    <row r="314" spans="3:31" s="561" customFormat="1" ht="15" customHeight="1">
      <c r="C314" s="587"/>
      <c r="D314" s="587"/>
      <c r="E314" s="696"/>
      <c r="F314" s="595"/>
      <c r="G314" s="595"/>
      <c r="H314" s="596"/>
      <c r="I314" s="597"/>
      <c r="J314" s="653"/>
      <c r="K314" s="671"/>
      <c r="L314" s="658"/>
      <c r="M314" s="658"/>
      <c r="N314" s="670"/>
      <c r="O314" s="576"/>
      <c r="P314" s="576"/>
      <c r="AD314" s="564"/>
      <c r="AE314" s="564"/>
    </row>
    <row r="315" spans="3:31" s="578" customFormat="1" ht="15" customHeight="1">
      <c r="C315" s="694">
        <f>+C306+1</f>
        <v>36</v>
      </c>
      <c r="D315" s="694"/>
      <c r="E315" s="695" t="s">
        <v>915</v>
      </c>
      <c r="F315" s="691"/>
      <c r="G315" s="691"/>
      <c r="H315" s="690"/>
      <c r="I315" s="669" t="s">
        <v>7</v>
      </c>
      <c r="J315" s="661"/>
      <c r="K315" s="670"/>
      <c r="L315" s="659"/>
      <c r="M315" s="659"/>
      <c r="N315" s="670">
        <f>SUM(M316:M322)</f>
        <v>182329</v>
      </c>
      <c r="O315" s="579"/>
      <c r="P315" s="579"/>
      <c r="AD315" s="580"/>
      <c r="AE315" s="580"/>
    </row>
    <row r="316" spans="3:31" s="561" customFormat="1" ht="15" customHeight="1">
      <c r="C316" s="587"/>
      <c r="D316" s="587"/>
      <c r="E316" s="696" t="s">
        <v>913</v>
      </c>
      <c r="F316" s="595"/>
      <c r="G316" s="595"/>
      <c r="H316" s="596"/>
      <c r="I316" s="597"/>
      <c r="J316" s="597" t="s">
        <v>149</v>
      </c>
      <c r="K316" s="599">
        <v>1</v>
      </c>
      <c r="L316" s="658">
        <f>Bhn!$M$166</f>
        <v>125000</v>
      </c>
      <c r="M316" s="658">
        <f aca="true" t="shared" si="17" ref="M316:M322">K316*L316</f>
        <v>125000</v>
      </c>
      <c r="N316" s="670"/>
      <c r="O316" s="576"/>
      <c r="P316" s="576"/>
      <c r="AD316" s="564"/>
      <c r="AE316" s="564"/>
    </row>
    <row r="317" spans="3:31" s="561" customFormat="1" ht="15" customHeight="1">
      <c r="C317" s="587"/>
      <c r="D317" s="587"/>
      <c r="E317" s="588" t="s">
        <v>66</v>
      </c>
      <c r="F317" s="595"/>
      <c r="G317" s="590"/>
      <c r="H317" s="591"/>
      <c r="I317" s="592"/>
      <c r="J317" s="593" t="s">
        <v>140</v>
      </c>
      <c r="K317" s="598">
        <f>12.44/40</f>
        <v>0.311</v>
      </c>
      <c r="L317" s="658">
        <f>Bhn!$M$44</f>
        <v>39000</v>
      </c>
      <c r="M317" s="658">
        <f t="shared" si="17"/>
        <v>12129</v>
      </c>
      <c r="N317" s="670"/>
      <c r="O317" s="576"/>
      <c r="P317" s="576"/>
      <c r="AD317" s="564"/>
      <c r="AE317" s="564"/>
    </row>
    <row r="318" spans="3:31" s="561" customFormat="1" ht="15" customHeight="1">
      <c r="C318" s="587"/>
      <c r="D318" s="587"/>
      <c r="E318" s="588" t="s">
        <v>60</v>
      </c>
      <c r="F318" s="595"/>
      <c r="G318" s="595"/>
      <c r="H318" s="596"/>
      <c r="I318" s="597"/>
      <c r="J318" s="597" t="s">
        <v>134</v>
      </c>
      <c r="K318" s="671">
        <v>0.025</v>
      </c>
      <c r="L318" s="658">
        <f>Bhn!$M$39</f>
        <v>100000</v>
      </c>
      <c r="M318" s="658">
        <f t="shared" si="17"/>
        <v>2500</v>
      </c>
      <c r="N318" s="670"/>
      <c r="O318" s="576"/>
      <c r="P318" s="576"/>
      <c r="AD318" s="564"/>
      <c r="AE318" s="564"/>
    </row>
    <row r="319" spans="3:31" s="561" customFormat="1" ht="15" customHeight="1">
      <c r="C319" s="587"/>
      <c r="D319" s="587"/>
      <c r="E319" s="696" t="s">
        <v>47</v>
      </c>
      <c r="F319" s="595"/>
      <c r="G319" s="595"/>
      <c r="H319" s="596"/>
      <c r="I319" s="597"/>
      <c r="J319" s="653"/>
      <c r="K319" s="671">
        <v>0.5</v>
      </c>
      <c r="L319" s="658">
        <f>Bhn!$M$25</f>
        <v>40000</v>
      </c>
      <c r="M319" s="658">
        <f t="shared" si="17"/>
        <v>20000</v>
      </c>
      <c r="N319" s="670"/>
      <c r="O319" s="576"/>
      <c r="P319" s="576"/>
      <c r="AD319" s="564"/>
      <c r="AE319" s="564"/>
    </row>
    <row r="320" spans="3:31" s="561" customFormat="1" ht="15" customHeight="1">
      <c r="C320" s="587"/>
      <c r="D320" s="587"/>
      <c r="E320" s="696" t="s">
        <v>48</v>
      </c>
      <c r="F320" s="595"/>
      <c r="G320" s="595"/>
      <c r="H320" s="596"/>
      <c r="I320" s="597"/>
      <c r="J320" s="653"/>
      <c r="K320" s="671">
        <v>0.05</v>
      </c>
      <c r="L320" s="658">
        <f>Bhn!$M$26</f>
        <v>40000</v>
      </c>
      <c r="M320" s="658">
        <f t="shared" si="17"/>
        <v>2000</v>
      </c>
      <c r="N320" s="670"/>
      <c r="O320" s="576"/>
      <c r="P320" s="576"/>
      <c r="AD320" s="564"/>
      <c r="AE320" s="564"/>
    </row>
    <row r="321" spans="3:31" s="561" customFormat="1" ht="15" customHeight="1">
      <c r="C321" s="587"/>
      <c r="D321" s="587"/>
      <c r="E321" s="696" t="s">
        <v>43</v>
      </c>
      <c r="F321" s="595"/>
      <c r="G321" s="595"/>
      <c r="H321" s="596"/>
      <c r="I321" s="597"/>
      <c r="J321" s="653"/>
      <c r="K321" s="671">
        <v>0.65</v>
      </c>
      <c r="L321" s="658">
        <f>Bhn!$M$23</f>
        <v>30000</v>
      </c>
      <c r="M321" s="658">
        <f t="shared" si="17"/>
        <v>19500</v>
      </c>
      <c r="N321" s="670"/>
      <c r="O321" s="576"/>
      <c r="P321" s="576"/>
      <c r="AD321" s="564"/>
      <c r="AE321" s="564"/>
    </row>
    <row r="322" spans="3:31" s="561" customFormat="1" ht="15" customHeight="1">
      <c r="C322" s="587"/>
      <c r="D322" s="587"/>
      <c r="E322" s="696" t="s">
        <v>46</v>
      </c>
      <c r="F322" s="595"/>
      <c r="G322" s="595"/>
      <c r="H322" s="596"/>
      <c r="I322" s="597"/>
      <c r="J322" s="653"/>
      <c r="K322" s="671">
        <v>0.03</v>
      </c>
      <c r="L322" s="658">
        <f>Bhn!$M$24</f>
        <v>40000</v>
      </c>
      <c r="M322" s="658">
        <f t="shared" si="17"/>
        <v>1200</v>
      </c>
      <c r="N322" s="670"/>
      <c r="O322" s="576"/>
      <c r="P322" s="576"/>
      <c r="AD322" s="564"/>
      <c r="AE322" s="564"/>
    </row>
    <row r="323" spans="3:31" s="561" customFormat="1" ht="15" customHeight="1">
      <c r="C323" s="587"/>
      <c r="D323" s="587"/>
      <c r="E323" s="696"/>
      <c r="F323" s="595"/>
      <c r="G323" s="595"/>
      <c r="H323" s="596"/>
      <c r="I323" s="597"/>
      <c r="J323" s="653"/>
      <c r="K323" s="671"/>
      <c r="L323" s="658"/>
      <c r="M323" s="658"/>
      <c r="N323" s="670"/>
      <c r="O323" s="576"/>
      <c r="P323" s="576"/>
      <c r="AD323" s="564"/>
      <c r="AE323" s="564"/>
    </row>
    <row r="324" spans="3:31" s="578" customFormat="1" ht="15" customHeight="1">
      <c r="C324" s="694">
        <f>+C315+1</f>
        <v>37</v>
      </c>
      <c r="D324" s="694"/>
      <c r="E324" s="695" t="s">
        <v>1255</v>
      </c>
      <c r="F324" s="691"/>
      <c r="G324" s="691"/>
      <c r="H324" s="690"/>
      <c r="I324" s="669" t="s">
        <v>7</v>
      </c>
      <c r="J324" s="661"/>
      <c r="K324" s="670"/>
      <c r="L324" s="659"/>
      <c r="M324" s="659"/>
      <c r="N324" s="670">
        <f>SUM(M325:M331)</f>
        <v>112329</v>
      </c>
      <c r="O324" s="579"/>
      <c r="P324" s="579"/>
      <c r="AD324" s="580"/>
      <c r="AE324" s="580"/>
    </row>
    <row r="325" spans="3:31" s="561" customFormat="1" ht="15" customHeight="1">
      <c r="C325" s="587"/>
      <c r="D325" s="587"/>
      <c r="E325" s="696" t="s">
        <v>1256</v>
      </c>
      <c r="F325" s="595"/>
      <c r="G325" s="595"/>
      <c r="H325" s="596"/>
      <c r="I325" s="597"/>
      <c r="J325" s="597" t="s">
        <v>149</v>
      </c>
      <c r="K325" s="599">
        <v>1</v>
      </c>
      <c r="L325" s="658">
        <v>55000</v>
      </c>
      <c r="M325" s="658">
        <f aca="true" t="shared" si="18" ref="M325:M331">K325*L325</f>
        <v>55000</v>
      </c>
      <c r="N325" s="670"/>
      <c r="O325" s="576"/>
      <c r="P325" s="576"/>
      <c r="AD325" s="564"/>
      <c r="AE325" s="564"/>
    </row>
    <row r="326" spans="3:31" s="561" customFormat="1" ht="15" customHeight="1">
      <c r="C326" s="587"/>
      <c r="D326" s="587"/>
      <c r="E326" s="588" t="s">
        <v>66</v>
      </c>
      <c r="F326" s="595"/>
      <c r="G326" s="590"/>
      <c r="H326" s="591"/>
      <c r="I326" s="592"/>
      <c r="J326" s="593" t="s">
        <v>140</v>
      </c>
      <c r="K326" s="598">
        <f>12.44/40</f>
        <v>0.311</v>
      </c>
      <c r="L326" s="658">
        <f>Bhn!$M$44</f>
        <v>39000</v>
      </c>
      <c r="M326" s="658">
        <f t="shared" si="18"/>
        <v>12129</v>
      </c>
      <c r="N326" s="670"/>
      <c r="O326" s="576"/>
      <c r="P326" s="576"/>
      <c r="AD326" s="564"/>
      <c r="AE326" s="564"/>
    </row>
    <row r="327" spans="3:31" s="561" customFormat="1" ht="15" customHeight="1">
      <c r="C327" s="587"/>
      <c r="D327" s="587"/>
      <c r="E327" s="588" t="s">
        <v>60</v>
      </c>
      <c r="F327" s="595"/>
      <c r="G327" s="595"/>
      <c r="H327" s="596"/>
      <c r="I327" s="597"/>
      <c r="J327" s="597" t="s">
        <v>134</v>
      </c>
      <c r="K327" s="671">
        <v>0.025</v>
      </c>
      <c r="L327" s="658">
        <f>Bhn!$M$39</f>
        <v>100000</v>
      </c>
      <c r="M327" s="658">
        <f t="shared" si="18"/>
        <v>2500</v>
      </c>
      <c r="N327" s="670"/>
      <c r="O327" s="576"/>
      <c r="P327" s="576"/>
      <c r="AD327" s="564"/>
      <c r="AE327" s="564"/>
    </row>
    <row r="328" spans="3:31" s="561" customFormat="1" ht="15" customHeight="1">
      <c r="C328" s="587"/>
      <c r="D328" s="587"/>
      <c r="E328" s="696" t="s">
        <v>47</v>
      </c>
      <c r="F328" s="595"/>
      <c r="G328" s="595"/>
      <c r="H328" s="596"/>
      <c r="I328" s="597"/>
      <c r="J328" s="653"/>
      <c r="K328" s="671">
        <v>0.5</v>
      </c>
      <c r="L328" s="658">
        <f>Bhn!$M$25</f>
        <v>40000</v>
      </c>
      <c r="M328" s="658">
        <f t="shared" si="18"/>
        <v>20000</v>
      </c>
      <c r="N328" s="670"/>
      <c r="O328" s="576"/>
      <c r="P328" s="576"/>
      <c r="AD328" s="564"/>
      <c r="AE328" s="564"/>
    </row>
    <row r="329" spans="3:31" s="561" customFormat="1" ht="15" customHeight="1">
      <c r="C329" s="587"/>
      <c r="D329" s="587"/>
      <c r="E329" s="696" t="s">
        <v>48</v>
      </c>
      <c r="F329" s="595"/>
      <c r="G329" s="595"/>
      <c r="H329" s="596"/>
      <c r="I329" s="597"/>
      <c r="J329" s="653"/>
      <c r="K329" s="671">
        <v>0.05</v>
      </c>
      <c r="L329" s="658">
        <f>Bhn!$M$26</f>
        <v>40000</v>
      </c>
      <c r="M329" s="658">
        <f t="shared" si="18"/>
        <v>2000</v>
      </c>
      <c r="N329" s="670"/>
      <c r="O329" s="576"/>
      <c r="P329" s="576"/>
      <c r="AD329" s="564"/>
      <c r="AE329" s="564"/>
    </row>
    <row r="330" spans="3:31" s="561" customFormat="1" ht="15" customHeight="1">
      <c r="C330" s="587"/>
      <c r="D330" s="587"/>
      <c r="E330" s="696" t="s">
        <v>43</v>
      </c>
      <c r="F330" s="595"/>
      <c r="G330" s="595"/>
      <c r="H330" s="596"/>
      <c r="I330" s="597"/>
      <c r="J330" s="653"/>
      <c r="K330" s="671">
        <v>0.65</v>
      </c>
      <c r="L330" s="658">
        <f>Bhn!$M$23</f>
        <v>30000</v>
      </c>
      <c r="M330" s="658">
        <f t="shared" si="18"/>
        <v>19500</v>
      </c>
      <c r="N330" s="670"/>
      <c r="O330" s="576"/>
      <c r="P330" s="576"/>
      <c r="AD330" s="564"/>
      <c r="AE330" s="564"/>
    </row>
    <row r="331" spans="3:31" s="561" customFormat="1" ht="15" customHeight="1">
      <c r="C331" s="587"/>
      <c r="D331" s="587"/>
      <c r="E331" s="696" t="s">
        <v>46</v>
      </c>
      <c r="F331" s="595"/>
      <c r="G331" s="595"/>
      <c r="H331" s="596"/>
      <c r="I331" s="597"/>
      <c r="J331" s="653"/>
      <c r="K331" s="671">
        <v>0.03</v>
      </c>
      <c r="L331" s="658">
        <f>Bhn!$M$24</f>
        <v>40000</v>
      </c>
      <c r="M331" s="658">
        <f t="shared" si="18"/>
        <v>1200</v>
      </c>
      <c r="N331" s="670"/>
      <c r="O331" s="576"/>
      <c r="P331" s="576"/>
      <c r="AD331" s="564"/>
      <c r="AE331" s="564"/>
    </row>
    <row r="332" spans="3:31" s="578" customFormat="1" ht="15" customHeight="1">
      <c r="C332" s="694">
        <f>+C315+1</f>
        <v>37</v>
      </c>
      <c r="D332" s="694"/>
      <c r="E332" s="695" t="s">
        <v>968</v>
      </c>
      <c r="F332" s="691"/>
      <c r="G332" s="691"/>
      <c r="H332" s="690"/>
      <c r="I332" s="669" t="s">
        <v>7</v>
      </c>
      <c r="J332" s="661"/>
      <c r="K332" s="670"/>
      <c r="L332" s="659"/>
      <c r="M332" s="659"/>
      <c r="N332" s="670">
        <f>SUM(M333:M339)</f>
        <v>147329</v>
      </c>
      <c r="O332" s="579"/>
      <c r="P332" s="579"/>
      <c r="AD332" s="580"/>
      <c r="AE332" s="580"/>
    </row>
    <row r="333" spans="3:31" s="561" customFormat="1" ht="15" customHeight="1">
      <c r="C333" s="587"/>
      <c r="D333" s="587"/>
      <c r="E333" s="696" t="s">
        <v>682</v>
      </c>
      <c r="F333" s="595"/>
      <c r="G333" s="595"/>
      <c r="H333" s="596"/>
      <c r="I333" s="597"/>
      <c r="J333" s="597" t="s">
        <v>149</v>
      </c>
      <c r="K333" s="599">
        <v>1</v>
      </c>
      <c r="L333" s="658">
        <f>Bhn!M167</f>
        <v>90000</v>
      </c>
      <c r="M333" s="658">
        <f aca="true" t="shared" si="19" ref="M333:M339">K333*L333</f>
        <v>90000</v>
      </c>
      <c r="N333" s="670"/>
      <c r="O333" s="576"/>
      <c r="P333" s="576"/>
      <c r="AD333" s="564"/>
      <c r="AE333" s="564"/>
    </row>
    <row r="334" spans="3:31" s="561" customFormat="1" ht="15" customHeight="1">
      <c r="C334" s="587"/>
      <c r="D334" s="587"/>
      <c r="E334" s="588" t="s">
        <v>66</v>
      </c>
      <c r="F334" s="595"/>
      <c r="G334" s="590"/>
      <c r="H334" s="591"/>
      <c r="I334" s="592"/>
      <c r="J334" s="593" t="s">
        <v>140</v>
      </c>
      <c r="K334" s="598">
        <f>12.44/40</f>
        <v>0.311</v>
      </c>
      <c r="L334" s="658">
        <f>Bhn!$M$44</f>
        <v>39000</v>
      </c>
      <c r="M334" s="658">
        <f t="shared" si="19"/>
        <v>12129</v>
      </c>
      <c r="N334" s="670"/>
      <c r="O334" s="576"/>
      <c r="P334" s="576"/>
      <c r="AD334" s="564"/>
      <c r="AE334" s="564"/>
    </row>
    <row r="335" spans="3:31" s="561" customFormat="1" ht="15" customHeight="1">
      <c r="C335" s="587"/>
      <c r="D335" s="587"/>
      <c r="E335" s="588" t="s">
        <v>60</v>
      </c>
      <c r="F335" s="595"/>
      <c r="G335" s="595"/>
      <c r="H335" s="596"/>
      <c r="I335" s="597"/>
      <c r="J335" s="597" t="s">
        <v>134</v>
      </c>
      <c r="K335" s="671">
        <v>0.025</v>
      </c>
      <c r="L335" s="658">
        <f>Bhn!$M$39</f>
        <v>100000</v>
      </c>
      <c r="M335" s="658">
        <f t="shared" si="19"/>
        <v>2500</v>
      </c>
      <c r="N335" s="670"/>
      <c r="O335" s="576"/>
      <c r="P335" s="576"/>
      <c r="AD335" s="564"/>
      <c r="AE335" s="564"/>
    </row>
    <row r="336" spans="3:31" s="561" customFormat="1" ht="15" customHeight="1">
      <c r="C336" s="587"/>
      <c r="D336" s="587"/>
      <c r="E336" s="696" t="s">
        <v>47</v>
      </c>
      <c r="F336" s="595"/>
      <c r="G336" s="595"/>
      <c r="H336" s="596"/>
      <c r="I336" s="597"/>
      <c r="J336" s="653"/>
      <c r="K336" s="671">
        <v>0.5</v>
      </c>
      <c r="L336" s="658">
        <f>Bhn!$M$25</f>
        <v>40000</v>
      </c>
      <c r="M336" s="658">
        <f t="shared" si="19"/>
        <v>20000</v>
      </c>
      <c r="N336" s="670"/>
      <c r="O336" s="576"/>
      <c r="P336" s="576"/>
      <c r="AD336" s="564"/>
      <c r="AE336" s="564"/>
    </row>
    <row r="337" spans="3:31" s="561" customFormat="1" ht="15" customHeight="1">
      <c r="C337" s="587"/>
      <c r="D337" s="587"/>
      <c r="E337" s="696" t="s">
        <v>48</v>
      </c>
      <c r="F337" s="595"/>
      <c r="G337" s="595"/>
      <c r="H337" s="596"/>
      <c r="I337" s="597"/>
      <c r="J337" s="653"/>
      <c r="K337" s="671">
        <v>0.05</v>
      </c>
      <c r="L337" s="658">
        <f>Bhn!$M$26</f>
        <v>40000</v>
      </c>
      <c r="M337" s="658">
        <f t="shared" si="19"/>
        <v>2000</v>
      </c>
      <c r="N337" s="670"/>
      <c r="O337" s="576"/>
      <c r="P337" s="576"/>
      <c r="AD337" s="564"/>
      <c r="AE337" s="564"/>
    </row>
    <row r="338" spans="3:31" s="561" customFormat="1" ht="15" customHeight="1">
      <c r="C338" s="587"/>
      <c r="D338" s="587"/>
      <c r="E338" s="696" t="s">
        <v>43</v>
      </c>
      <c r="F338" s="595"/>
      <c r="G338" s="595"/>
      <c r="H338" s="596"/>
      <c r="I338" s="597"/>
      <c r="J338" s="653"/>
      <c r="K338" s="671">
        <v>0.65</v>
      </c>
      <c r="L338" s="658">
        <f>Bhn!$M$23</f>
        <v>30000</v>
      </c>
      <c r="M338" s="658">
        <f t="shared" si="19"/>
        <v>19500</v>
      </c>
      <c r="N338" s="670"/>
      <c r="O338" s="576"/>
      <c r="P338" s="576"/>
      <c r="AD338" s="564"/>
      <c r="AE338" s="564"/>
    </row>
    <row r="339" spans="3:31" s="561" customFormat="1" ht="15" customHeight="1">
      <c r="C339" s="587"/>
      <c r="D339" s="587"/>
      <c r="E339" s="696" t="s">
        <v>46</v>
      </c>
      <c r="F339" s="595"/>
      <c r="G339" s="595"/>
      <c r="H339" s="596"/>
      <c r="I339" s="597"/>
      <c r="J339" s="653"/>
      <c r="K339" s="671">
        <v>0.03</v>
      </c>
      <c r="L339" s="658">
        <f>Bhn!$M$24</f>
        <v>40000</v>
      </c>
      <c r="M339" s="658">
        <f t="shared" si="19"/>
        <v>1200</v>
      </c>
      <c r="N339" s="670"/>
      <c r="O339" s="576"/>
      <c r="P339" s="576"/>
      <c r="AD339" s="564"/>
      <c r="AE339" s="564"/>
    </row>
    <row r="340" spans="3:31" s="561" customFormat="1" ht="15" customHeight="1">
      <c r="C340" s="587"/>
      <c r="D340" s="587"/>
      <c r="E340" s="696"/>
      <c r="F340" s="595"/>
      <c r="G340" s="595"/>
      <c r="H340" s="596"/>
      <c r="I340" s="597"/>
      <c r="J340" s="653"/>
      <c r="K340" s="671"/>
      <c r="L340" s="658"/>
      <c r="M340" s="658"/>
      <c r="N340" s="670"/>
      <c r="O340" s="576"/>
      <c r="P340" s="576"/>
      <c r="AD340" s="564"/>
      <c r="AE340" s="564"/>
    </row>
    <row r="341" spans="3:31" s="578" customFormat="1" ht="15" customHeight="1">
      <c r="C341" s="694">
        <f>+C332+1</f>
        <v>38</v>
      </c>
      <c r="D341" s="688"/>
      <c r="E341" s="687" t="s">
        <v>167</v>
      </c>
      <c r="F341" s="691"/>
      <c r="G341" s="689"/>
      <c r="H341" s="693"/>
      <c r="I341" s="654"/>
      <c r="J341" s="655" t="s">
        <v>116</v>
      </c>
      <c r="K341" s="661"/>
      <c r="L341" s="657"/>
      <c r="M341" s="659"/>
      <c r="N341" s="657">
        <f>SUM(M342:M347)</f>
        <v>68647.7</v>
      </c>
      <c r="O341" s="560"/>
      <c r="P341" s="560"/>
      <c r="Z341" s="580"/>
      <c r="AA341" s="580"/>
      <c r="AB341" s="580"/>
      <c r="AD341" s="580"/>
      <c r="AE341" s="580"/>
    </row>
    <row r="342" spans="3:31" s="561" customFormat="1" ht="15" customHeight="1">
      <c r="C342" s="587"/>
      <c r="D342" s="686"/>
      <c r="E342" s="588" t="s">
        <v>211</v>
      </c>
      <c r="F342" s="595"/>
      <c r="G342" s="590"/>
      <c r="H342" s="591"/>
      <c r="I342" s="592"/>
      <c r="J342" s="593" t="s">
        <v>139</v>
      </c>
      <c r="K342" s="598">
        <v>14</v>
      </c>
      <c r="L342" s="658">
        <f>Bhn!$M$104</f>
        <v>4350</v>
      </c>
      <c r="M342" s="658">
        <f aca="true" t="shared" si="20" ref="M342:M347">K342*L342</f>
        <v>60900</v>
      </c>
      <c r="N342" s="657"/>
      <c r="O342" s="559"/>
      <c r="P342" s="559"/>
      <c r="Z342" s="564"/>
      <c r="AA342" s="564"/>
      <c r="AB342" s="564"/>
      <c r="AD342" s="564"/>
      <c r="AE342" s="564"/>
    </row>
    <row r="343" spans="3:31" s="561" customFormat="1" ht="15" customHeight="1">
      <c r="C343" s="587"/>
      <c r="D343" s="686"/>
      <c r="E343" s="588" t="s">
        <v>72</v>
      </c>
      <c r="F343" s="595"/>
      <c r="G343" s="590"/>
      <c r="H343" s="591"/>
      <c r="I343" s="592"/>
      <c r="J343" s="593" t="s">
        <v>148</v>
      </c>
      <c r="K343" s="598">
        <v>0.03</v>
      </c>
      <c r="L343" s="658">
        <f>Bhn!$M$48</f>
        <v>8590</v>
      </c>
      <c r="M343" s="658">
        <f t="shared" si="20"/>
        <v>257.7</v>
      </c>
      <c r="N343" s="657"/>
      <c r="O343" s="559"/>
      <c r="P343" s="559"/>
      <c r="AD343" s="564"/>
      <c r="AE343" s="564"/>
    </row>
    <row r="344" spans="3:31" s="561" customFormat="1" ht="15" customHeight="1">
      <c r="C344" s="587"/>
      <c r="D344" s="686"/>
      <c r="E344" s="696" t="s">
        <v>49</v>
      </c>
      <c r="F344" s="595"/>
      <c r="G344" s="590"/>
      <c r="H344" s="591"/>
      <c r="I344" s="592"/>
      <c r="J344" s="651"/>
      <c r="K344" s="598">
        <v>0.06</v>
      </c>
      <c r="L344" s="658">
        <f>Bhn!$M$27</f>
        <v>40000</v>
      </c>
      <c r="M344" s="658">
        <f t="shared" si="20"/>
        <v>2400</v>
      </c>
      <c r="N344" s="657"/>
      <c r="O344" s="559"/>
      <c r="P344" s="559"/>
      <c r="AD344" s="564"/>
      <c r="AE344" s="564"/>
    </row>
    <row r="345" spans="3:31" s="561" customFormat="1" ht="15" customHeight="1">
      <c r="C345" s="587"/>
      <c r="D345" s="686"/>
      <c r="E345" s="696" t="s">
        <v>50</v>
      </c>
      <c r="F345" s="595"/>
      <c r="G345" s="590"/>
      <c r="H345" s="591"/>
      <c r="I345" s="592"/>
      <c r="J345" s="651"/>
      <c r="K345" s="598">
        <v>0.006</v>
      </c>
      <c r="L345" s="658">
        <f>Bhn!$M$28</f>
        <v>45000</v>
      </c>
      <c r="M345" s="658">
        <f t="shared" si="20"/>
        <v>270</v>
      </c>
      <c r="N345" s="657"/>
      <c r="O345" s="559"/>
      <c r="P345" s="559"/>
      <c r="AD345" s="564"/>
      <c r="AE345" s="564"/>
    </row>
    <row r="346" spans="3:31" s="561" customFormat="1" ht="15" customHeight="1">
      <c r="C346" s="587"/>
      <c r="D346" s="686"/>
      <c r="E346" s="588" t="s">
        <v>43</v>
      </c>
      <c r="F346" s="595"/>
      <c r="G346" s="590"/>
      <c r="H346" s="591"/>
      <c r="I346" s="592"/>
      <c r="J346" s="651"/>
      <c r="K346" s="598">
        <v>0.15</v>
      </c>
      <c r="L346" s="658">
        <f>Bhn!$M$23</f>
        <v>30000</v>
      </c>
      <c r="M346" s="658">
        <f t="shared" si="20"/>
        <v>4500</v>
      </c>
      <c r="N346" s="657"/>
      <c r="O346" s="559"/>
      <c r="P346" s="559"/>
      <c r="T346" s="564"/>
      <c r="X346" s="564"/>
      <c r="Z346" s="564"/>
      <c r="AA346" s="564"/>
      <c r="AD346" s="564"/>
      <c r="AE346" s="564"/>
    </row>
    <row r="347" spans="3:31" s="561" customFormat="1" ht="15" customHeight="1">
      <c r="C347" s="587"/>
      <c r="D347" s="686"/>
      <c r="E347" s="588" t="s">
        <v>46</v>
      </c>
      <c r="F347" s="595"/>
      <c r="G347" s="590"/>
      <c r="H347" s="591"/>
      <c r="I347" s="592"/>
      <c r="J347" s="651"/>
      <c r="K347" s="598">
        <v>0.008</v>
      </c>
      <c r="L347" s="658">
        <f>Bhn!$M$24</f>
        <v>40000</v>
      </c>
      <c r="M347" s="658">
        <f t="shared" si="20"/>
        <v>320</v>
      </c>
      <c r="N347" s="659"/>
      <c r="O347" s="576"/>
      <c r="P347" s="576"/>
      <c r="T347" s="564"/>
      <c r="X347" s="564"/>
      <c r="Z347" s="564"/>
      <c r="AA347" s="564"/>
      <c r="AD347" s="564"/>
      <c r="AE347" s="564"/>
    </row>
    <row r="348" spans="3:31" s="561" customFormat="1" ht="15" customHeight="1">
      <c r="C348" s="587"/>
      <c r="D348" s="686"/>
      <c r="E348" s="588"/>
      <c r="F348" s="595"/>
      <c r="G348" s="590"/>
      <c r="H348" s="591"/>
      <c r="I348" s="592"/>
      <c r="J348" s="651"/>
      <c r="K348" s="598"/>
      <c r="L348" s="658"/>
      <c r="M348" s="658"/>
      <c r="N348" s="659"/>
      <c r="O348" s="576"/>
      <c r="P348" s="576"/>
      <c r="T348" s="564"/>
      <c r="X348" s="564"/>
      <c r="Z348" s="564"/>
      <c r="AA348" s="564"/>
      <c r="AD348" s="564"/>
      <c r="AE348" s="564"/>
    </row>
    <row r="349" spans="3:31" s="578" customFormat="1" ht="15" customHeight="1">
      <c r="C349" s="694">
        <f>C341+1</f>
        <v>39</v>
      </c>
      <c r="D349" s="694"/>
      <c r="E349" s="687" t="s">
        <v>152</v>
      </c>
      <c r="F349" s="691"/>
      <c r="G349" s="689"/>
      <c r="H349" s="693"/>
      <c r="I349" s="654"/>
      <c r="J349" s="655" t="s">
        <v>122</v>
      </c>
      <c r="K349" s="670"/>
      <c r="L349" s="659"/>
      <c r="M349" s="659"/>
      <c r="N349" s="670">
        <f>SUM(M350:M356)</f>
        <v>88710</v>
      </c>
      <c r="O349" s="560"/>
      <c r="P349" s="560"/>
      <c r="X349" s="580"/>
      <c r="Y349" s="580"/>
      <c r="Z349" s="580"/>
      <c r="AA349" s="580"/>
      <c r="AB349" s="580"/>
      <c r="AD349" s="580"/>
      <c r="AE349" s="580"/>
    </row>
    <row r="350" spans="3:31" s="561" customFormat="1" ht="15" customHeight="1">
      <c r="C350" s="587"/>
      <c r="D350" s="686"/>
      <c r="E350" s="588" t="s">
        <v>212</v>
      </c>
      <c r="F350" s="595"/>
      <c r="G350" s="590"/>
      <c r="H350" s="591"/>
      <c r="I350" s="592"/>
      <c r="J350" s="593" t="s">
        <v>139</v>
      </c>
      <c r="K350" s="598">
        <v>4</v>
      </c>
      <c r="L350" s="658">
        <f>Bhn!$M$105</f>
        <v>13500</v>
      </c>
      <c r="M350" s="658">
        <f aca="true" t="shared" si="21" ref="M350:M356">K350*L350</f>
        <v>54000</v>
      </c>
      <c r="N350" s="657"/>
      <c r="O350" s="559"/>
      <c r="P350" s="559"/>
      <c r="X350" s="564"/>
      <c r="Y350" s="564"/>
      <c r="Z350" s="564"/>
      <c r="AA350" s="564"/>
      <c r="AB350" s="564"/>
      <c r="AD350" s="564"/>
      <c r="AE350" s="564"/>
    </row>
    <row r="351" spans="3:31" s="561" customFormat="1" ht="15" customHeight="1">
      <c r="C351" s="587"/>
      <c r="D351" s="686"/>
      <c r="E351" s="588" t="s">
        <v>66</v>
      </c>
      <c r="F351" s="595"/>
      <c r="G351" s="590"/>
      <c r="H351" s="591"/>
      <c r="I351" s="592"/>
      <c r="J351" s="593" t="s">
        <v>140</v>
      </c>
      <c r="K351" s="598">
        <f>10.8/40</f>
        <v>0.27</v>
      </c>
      <c r="L351" s="658">
        <f>Bhn!$M$44</f>
        <v>39000</v>
      </c>
      <c r="M351" s="658">
        <f t="shared" si="21"/>
        <v>10530</v>
      </c>
      <c r="N351" s="657"/>
      <c r="O351" s="559"/>
      <c r="P351" s="559"/>
      <c r="X351" s="564"/>
      <c r="Y351" s="564"/>
      <c r="AD351" s="564"/>
      <c r="AE351" s="564"/>
    </row>
    <row r="352" spans="3:31" s="561" customFormat="1" ht="15" customHeight="1">
      <c r="C352" s="587"/>
      <c r="D352" s="686"/>
      <c r="E352" s="588" t="s">
        <v>60</v>
      </c>
      <c r="F352" s="595"/>
      <c r="G352" s="590"/>
      <c r="H352" s="591"/>
      <c r="I352" s="592"/>
      <c r="J352" s="593" t="s">
        <v>134</v>
      </c>
      <c r="K352" s="598">
        <v>0.032</v>
      </c>
      <c r="L352" s="658">
        <f>Bhn!$M$39</f>
        <v>100000</v>
      </c>
      <c r="M352" s="658">
        <f t="shared" si="21"/>
        <v>3200</v>
      </c>
      <c r="N352" s="657"/>
      <c r="O352" s="559"/>
      <c r="P352" s="559"/>
      <c r="Z352" s="564"/>
      <c r="AA352" s="564"/>
      <c r="AD352" s="564"/>
      <c r="AE352" s="564"/>
    </row>
    <row r="353" spans="3:31" s="561" customFormat="1" ht="15" customHeight="1">
      <c r="C353" s="587"/>
      <c r="D353" s="686"/>
      <c r="E353" s="696" t="s">
        <v>49</v>
      </c>
      <c r="F353" s="595"/>
      <c r="G353" s="590"/>
      <c r="H353" s="591"/>
      <c r="I353" s="592"/>
      <c r="J353" s="651"/>
      <c r="K353" s="598">
        <v>0.2</v>
      </c>
      <c r="L353" s="658">
        <f>Bhn!$M$27</f>
        <v>40000</v>
      </c>
      <c r="M353" s="658">
        <f t="shared" si="21"/>
        <v>8000</v>
      </c>
      <c r="N353" s="657"/>
      <c r="O353" s="559"/>
      <c r="P353" s="559"/>
      <c r="T353" s="564"/>
      <c r="X353" s="564"/>
      <c r="Z353" s="564"/>
      <c r="AA353" s="564"/>
      <c r="AB353" s="564"/>
      <c r="AD353" s="564"/>
      <c r="AE353" s="564"/>
    </row>
    <row r="354" spans="3:31" s="561" customFormat="1" ht="15" customHeight="1">
      <c r="C354" s="587"/>
      <c r="D354" s="686"/>
      <c r="E354" s="696" t="s">
        <v>50</v>
      </c>
      <c r="F354" s="595"/>
      <c r="G354" s="590"/>
      <c r="H354" s="591"/>
      <c r="I354" s="592"/>
      <c r="J354" s="651"/>
      <c r="K354" s="598">
        <v>0.02</v>
      </c>
      <c r="L354" s="658">
        <f>Bhn!$M$28</f>
        <v>45000</v>
      </c>
      <c r="M354" s="658">
        <f t="shared" si="21"/>
        <v>900</v>
      </c>
      <c r="N354" s="657"/>
      <c r="O354" s="559"/>
      <c r="P354" s="559"/>
      <c r="X354" s="564"/>
      <c r="Z354" s="564"/>
      <c r="AA354" s="564"/>
      <c r="AD354" s="564"/>
      <c r="AE354" s="564"/>
    </row>
    <row r="355" spans="3:31" s="561" customFormat="1" ht="15" customHeight="1">
      <c r="C355" s="587"/>
      <c r="D355" s="686"/>
      <c r="E355" s="588" t="s">
        <v>43</v>
      </c>
      <c r="F355" s="595"/>
      <c r="G355" s="590"/>
      <c r="H355" s="591"/>
      <c r="I355" s="592"/>
      <c r="J355" s="651"/>
      <c r="K355" s="598">
        <v>0.4</v>
      </c>
      <c r="L355" s="658">
        <f>Bhn!$M$23</f>
        <v>30000</v>
      </c>
      <c r="M355" s="658">
        <f t="shared" si="21"/>
        <v>12000</v>
      </c>
      <c r="N355" s="657"/>
      <c r="O355" s="559"/>
      <c r="P355" s="559"/>
      <c r="T355" s="564"/>
      <c r="V355" s="564"/>
      <c r="X355" s="564"/>
      <c r="Z355" s="564"/>
      <c r="AA355" s="564"/>
      <c r="AD355" s="564"/>
      <c r="AE355" s="564"/>
    </row>
    <row r="356" spans="3:31" s="561" customFormat="1" ht="15" customHeight="1">
      <c r="C356" s="587"/>
      <c r="D356" s="686"/>
      <c r="E356" s="588" t="s">
        <v>46</v>
      </c>
      <c r="F356" s="595"/>
      <c r="G356" s="590"/>
      <c r="H356" s="591"/>
      <c r="I356" s="592"/>
      <c r="J356" s="651"/>
      <c r="K356" s="598">
        <v>0.002</v>
      </c>
      <c r="L356" s="658">
        <f>Bhn!$M$24</f>
        <v>40000</v>
      </c>
      <c r="M356" s="658">
        <f t="shared" si="21"/>
        <v>80</v>
      </c>
      <c r="N356" s="659"/>
      <c r="O356" s="576"/>
      <c r="P356" s="576"/>
      <c r="V356" s="564"/>
      <c r="X356" s="564"/>
      <c r="AA356" s="564"/>
      <c r="AD356" s="564"/>
      <c r="AE356" s="564"/>
    </row>
    <row r="357" spans="3:31" s="578" customFormat="1" ht="15" customHeight="1">
      <c r="C357" s="694">
        <f>C349+1</f>
        <v>40</v>
      </c>
      <c r="D357" s="694"/>
      <c r="E357" s="691" t="s">
        <v>924</v>
      </c>
      <c r="F357" s="691"/>
      <c r="G357" s="691"/>
      <c r="H357" s="690"/>
      <c r="I357" s="672"/>
      <c r="J357" s="673" t="s">
        <v>116</v>
      </c>
      <c r="K357" s="674"/>
      <c r="L357" s="659"/>
      <c r="M357" s="659"/>
      <c r="N357" s="677">
        <f>SUM(M358:M363)</f>
        <v>104110</v>
      </c>
      <c r="O357" s="579"/>
      <c r="P357" s="579"/>
      <c r="V357" s="580"/>
      <c r="X357" s="580"/>
      <c r="AA357" s="580"/>
      <c r="AD357" s="580"/>
      <c r="AE357" s="580"/>
    </row>
    <row r="358" spans="3:31" s="561" customFormat="1" ht="15" customHeight="1">
      <c r="C358" s="587"/>
      <c r="D358" s="587"/>
      <c r="E358" s="696" t="s">
        <v>123</v>
      </c>
      <c r="F358" s="595"/>
      <c r="G358" s="595"/>
      <c r="H358" s="596"/>
      <c r="I358" s="597"/>
      <c r="J358" s="597" t="s">
        <v>149</v>
      </c>
      <c r="K358" s="675">
        <v>1</v>
      </c>
      <c r="L358" s="658">
        <f>Bhn!$M$150</f>
        <v>70000</v>
      </c>
      <c r="M358" s="658">
        <f aca="true" t="shared" si="22" ref="M358:M363">K358*L358</f>
        <v>70000</v>
      </c>
      <c r="N358" s="674"/>
      <c r="O358" s="576"/>
      <c r="P358" s="576"/>
      <c r="V358" s="564"/>
      <c r="X358" s="564"/>
      <c r="AA358" s="564"/>
      <c r="AD358" s="564"/>
      <c r="AE358" s="564"/>
    </row>
    <row r="359" spans="3:31" s="561" customFormat="1" ht="15" customHeight="1">
      <c r="C359" s="587"/>
      <c r="D359" s="587"/>
      <c r="E359" s="696" t="s">
        <v>124</v>
      </c>
      <c r="F359" s="595"/>
      <c r="G359" s="595"/>
      <c r="H359" s="596"/>
      <c r="I359" s="597"/>
      <c r="J359" s="597" t="s">
        <v>139</v>
      </c>
      <c r="K359" s="675">
        <v>4</v>
      </c>
      <c r="L359" s="658">
        <f>Bhn!$M$49</f>
        <v>1500</v>
      </c>
      <c r="M359" s="658">
        <f t="shared" si="22"/>
        <v>6000</v>
      </c>
      <c r="N359" s="674"/>
      <c r="O359" s="576"/>
      <c r="P359" s="576"/>
      <c r="V359" s="564"/>
      <c r="X359" s="564"/>
      <c r="AA359" s="564"/>
      <c r="AD359" s="564"/>
      <c r="AE359" s="564"/>
    </row>
    <row r="360" spans="3:31" s="561" customFormat="1" ht="15" customHeight="1">
      <c r="C360" s="587"/>
      <c r="D360" s="587"/>
      <c r="E360" s="696" t="s">
        <v>49</v>
      </c>
      <c r="F360" s="595"/>
      <c r="G360" s="595"/>
      <c r="H360" s="596"/>
      <c r="I360" s="597"/>
      <c r="J360" s="653"/>
      <c r="K360" s="675">
        <v>0.6</v>
      </c>
      <c r="L360" s="658">
        <f>Bhn!$M$27</f>
        <v>40000</v>
      </c>
      <c r="M360" s="658">
        <f t="shared" si="22"/>
        <v>24000</v>
      </c>
      <c r="N360" s="674"/>
      <c r="O360" s="576"/>
      <c r="P360" s="576"/>
      <c r="V360" s="564"/>
      <c r="X360" s="564"/>
      <c r="AA360" s="564"/>
      <c r="AD360" s="564"/>
      <c r="AE360" s="564"/>
    </row>
    <row r="361" spans="3:31" s="561" customFormat="1" ht="15" customHeight="1">
      <c r="C361" s="587"/>
      <c r="D361" s="587"/>
      <c r="E361" s="696" t="s">
        <v>50</v>
      </c>
      <c r="F361" s="595"/>
      <c r="G361" s="595"/>
      <c r="H361" s="596"/>
      <c r="I361" s="597"/>
      <c r="J361" s="653"/>
      <c r="K361" s="675">
        <v>0.006</v>
      </c>
      <c r="L361" s="658">
        <f>Bhn!$M$28</f>
        <v>45000</v>
      </c>
      <c r="M361" s="658">
        <f t="shared" si="22"/>
        <v>270</v>
      </c>
      <c r="N361" s="674"/>
      <c r="O361" s="576"/>
      <c r="P361" s="576"/>
      <c r="V361" s="564"/>
      <c r="X361" s="564"/>
      <c r="AA361" s="564"/>
      <c r="AD361" s="564"/>
      <c r="AE361" s="564"/>
    </row>
    <row r="362" spans="3:31" s="561" customFormat="1" ht="15" customHeight="1">
      <c r="C362" s="587"/>
      <c r="D362" s="587"/>
      <c r="E362" s="696" t="s">
        <v>43</v>
      </c>
      <c r="F362" s="595"/>
      <c r="G362" s="595"/>
      <c r="H362" s="596"/>
      <c r="I362" s="597"/>
      <c r="J362" s="653"/>
      <c r="K362" s="675">
        <v>0.12</v>
      </c>
      <c r="L362" s="658">
        <f>Bhn!$M$23</f>
        <v>30000</v>
      </c>
      <c r="M362" s="658">
        <f t="shared" si="22"/>
        <v>3600</v>
      </c>
      <c r="N362" s="674"/>
      <c r="O362" s="576"/>
      <c r="P362" s="576"/>
      <c r="V362" s="564"/>
      <c r="X362" s="564"/>
      <c r="AA362" s="564"/>
      <c r="AD362" s="564"/>
      <c r="AE362" s="564"/>
    </row>
    <row r="363" spans="3:31" s="561" customFormat="1" ht="15" customHeight="1">
      <c r="C363" s="587"/>
      <c r="D363" s="587"/>
      <c r="E363" s="696" t="s">
        <v>46</v>
      </c>
      <c r="F363" s="595"/>
      <c r="G363" s="595"/>
      <c r="H363" s="596"/>
      <c r="I363" s="597"/>
      <c r="J363" s="653"/>
      <c r="K363" s="675">
        <v>0.006</v>
      </c>
      <c r="L363" s="658">
        <f>Bhn!$M$24</f>
        <v>40000</v>
      </c>
      <c r="M363" s="658">
        <f t="shared" si="22"/>
        <v>240</v>
      </c>
      <c r="N363" s="674"/>
      <c r="O363" s="576"/>
      <c r="P363" s="576"/>
      <c r="V363" s="564"/>
      <c r="X363" s="564"/>
      <c r="AA363" s="564"/>
      <c r="AD363" s="564"/>
      <c r="AE363" s="564"/>
    </row>
    <row r="364" spans="3:31" s="561" customFormat="1" ht="15" customHeight="1">
      <c r="C364" s="587"/>
      <c r="D364" s="587"/>
      <c r="E364" s="696"/>
      <c r="F364" s="595"/>
      <c r="G364" s="595"/>
      <c r="H364" s="596"/>
      <c r="I364" s="597"/>
      <c r="J364" s="653"/>
      <c r="K364" s="675"/>
      <c r="L364" s="658"/>
      <c r="M364" s="658"/>
      <c r="N364" s="674"/>
      <c r="O364" s="576"/>
      <c r="P364" s="576"/>
      <c r="V364" s="564"/>
      <c r="X364" s="564"/>
      <c r="AA364" s="564"/>
      <c r="AD364" s="564"/>
      <c r="AE364" s="564"/>
    </row>
    <row r="365" spans="3:31" s="578" customFormat="1" ht="15" customHeight="1">
      <c r="C365" s="694">
        <f>C357+1</f>
        <v>41</v>
      </c>
      <c r="D365" s="694"/>
      <c r="E365" s="691" t="s">
        <v>925</v>
      </c>
      <c r="F365" s="691"/>
      <c r="G365" s="691"/>
      <c r="H365" s="690"/>
      <c r="I365" s="669"/>
      <c r="J365" s="676" t="s">
        <v>122</v>
      </c>
      <c r="K365" s="672"/>
      <c r="L365" s="659"/>
      <c r="M365" s="659"/>
      <c r="N365" s="674">
        <f>SUM(M366:M371)</f>
        <v>41900</v>
      </c>
      <c r="O365" s="579"/>
      <c r="P365" s="579"/>
      <c r="V365" s="580"/>
      <c r="X365" s="580"/>
      <c r="AA365" s="580"/>
      <c r="AD365" s="580"/>
      <c r="AE365" s="580"/>
    </row>
    <row r="366" spans="3:31" s="561" customFormat="1" ht="15" customHeight="1">
      <c r="C366" s="587"/>
      <c r="D366" s="587"/>
      <c r="E366" s="696" t="s">
        <v>123</v>
      </c>
      <c r="F366" s="595"/>
      <c r="G366" s="595"/>
      <c r="H366" s="596"/>
      <c r="I366" s="597"/>
      <c r="J366" s="597" t="s">
        <v>149</v>
      </c>
      <c r="K366" s="675">
        <v>0.4</v>
      </c>
      <c r="L366" s="658">
        <f>Bhn!$M$150</f>
        <v>70000</v>
      </c>
      <c r="M366" s="658">
        <f aca="true" t="shared" si="23" ref="M366:M371">K366*L366</f>
        <v>28000</v>
      </c>
      <c r="N366" s="674"/>
      <c r="O366" s="576"/>
      <c r="P366" s="576"/>
      <c r="V366" s="564"/>
      <c r="X366" s="564"/>
      <c r="AA366" s="564"/>
      <c r="AD366" s="564"/>
      <c r="AE366" s="564"/>
    </row>
    <row r="367" spans="3:31" s="561" customFormat="1" ht="15" customHeight="1">
      <c r="C367" s="587"/>
      <c r="D367" s="587"/>
      <c r="E367" s="696" t="s">
        <v>124</v>
      </c>
      <c r="F367" s="595"/>
      <c r="G367" s="595"/>
      <c r="H367" s="596"/>
      <c r="I367" s="597"/>
      <c r="J367" s="597" t="s">
        <v>139</v>
      </c>
      <c r="K367" s="675">
        <v>4</v>
      </c>
      <c r="L367" s="658">
        <f>Bhn!$M$49</f>
        <v>1500</v>
      </c>
      <c r="M367" s="658">
        <f t="shared" si="23"/>
        <v>6000</v>
      </c>
      <c r="N367" s="674"/>
      <c r="O367" s="576"/>
      <c r="P367" s="576"/>
      <c r="V367" s="564"/>
      <c r="X367" s="564"/>
      <c r="AA367" s="564"/>
      <c r="AD367" s="564"/>
      <c r="AE367" s="564"/>
    </row>
    <row r="368" spans="3:31" s="561" customFormat="1" ht="15" customHeight="1">
      <c r="C368" s="587"/>
      <c r="D368" s="587"/>
      <c r="E368" s="696" t="s">
        <v>49</v>
      </c>
      <c r="F368" s="595"/>
      <c r="G368" s="595"/>
      <c r="H368" s="596"/>
      <c r="I368" s="597"/>
      <c r="J368" s="653"/>
      <c r="K368" s="675">
        <v>0.07</v>
      </c>
      <c r="L368" s="658">
        <f>Bhn!$M$27</f>
        <v>40000</v>
      </c>
      <c r="M368" s="658">
        <f t="shared" si="23"/>
        <v>2800.0000000000005</v>
      </c>
      <c r="N368" s="674"/>
      <c r="O368" s="576"/>
      <c r="P368" s="576"/>
      <c r="V368" s="564"/>
      <c r="X368" s="564"/>
      <c r="AA368" s="564"/>
      <c r="AD368" s="564"/>
      <c r="AE368" s="564"/>
    </row>
    <row r="369" spans="3:31" s="561" customFormat="1" ht="15" customHeight="1">
      <c r="C369" s="587"/>
      <c r="D369" s="587"/>
      <c r="E369" s="696" t="s">
        <v>50</v>
      </c>
      <c r="F369" s="595"/>
      <c r="G369" s="595"/>
      <c r="H369" s="596"/>
      <c r="I369" s="593"/>
      <c r="J369" s="653"/>
      <c r="K369" s="675">
        <v>0.008</v>
      </c>
      <c r="L369" s="658">
        <f>Bhn!$M$28</f>
        <v>45000</v>
      </c>
      <c r="M369" s="658">
        <f t="shared" si="23"/>
        <v>360</v>
      </c>
      <c r="N369" s="674"/>
      <c r="O369" s="576"/>
      <c r="P369" s="576"/>
      <c r="V369" s="564"/>
      <c r="X369" s="564"/>
      <c r="AA369" s="564"/>
      <c r="AD369" s="564"/>
      <c r="AE369" s="564"/>
    </row>
    <row r="370" spans="3:31" s="561" customFormat="1" ht="15" customHeight="1">
      <c r="C370" s="587"/>
      <c r="D370" s="587"/>
      <c r="E370" s="696" t="s">
        <v>43</v>
      </c>
      <c r="F370" s="595"/>
      <c r="G370" s="595"/>
      <c r="H370" s="596"/>
      <c r="I370" s="597"/>
      <c r="J370" s="653"/>
      <c r="K370" s="675">
        <v>0.15</v>
      </c>
      <c r="L370" s="658">
        <f>Bhn!$M$23</f>
        <v>30000</v>
      </c>
      <c r="M370" s="658">
        <f t="shared" si="23"/>
        <v>4500</v>
      </c>
      <c r="N370" s="674"/>
      <c r="O370" s="576"/>
      <c r="P370" s="576"/>
      <c r="V370" s="564"/>
      <c r="X370" s="564"/>
      <c r="AA370" s="564"/>
      <c r="AD370" s="564"/>
      <c r="AE370" s="564"/>
    </row>
    <row r="371" spans="3:31" s="561" customFormat="1" ht="15" customHeight="1">
      <c r="C371" s="587"/>
      <c r="D371" s="587"/>
      <c r="E371" s="696" t="s">
        <v>46</v>
      </c>
      <c r="F371" s="595"/>
      <c r="G371" s="595"/>
      <c r="H371" s="596"/>
      <c r="I371" s="597"/>
      <c r="J371" s="653"/>
      <c r="K371" s="675">
        <v>0.006</v>
      </c>
      <c r="L371" s="658">
        <f>Bhn!$M$24</f>
        <v>40000</v>
      </c>
      <c r="M371" s="658">
        <f t="shared" si="23"/>
        <v>240</v>
      </c>
      <c r="N371" s="674"/>
      <c r="O371" s="576"/>
      <c r="P371" s="576"/>
      <c r="V371" s="564"/>
      <c r="X371" s="564"/>
      <c r="AA371" s="564"/>
      <c r="AD371" s="564"/>
      <c r="AE371" s="564"/>
    </row>
    <row r="372" spans="3:31" s="561" customFormat="1" ht="15" customHeight="1">
      <c r="C372" s="587"/>
      <c r="D372" s="686"/>
      <c r="E372" s="588"/>
      <c r="F372" s="595"/>
      <c r="G372" s="590"/>
      <c r="H372" s="591"/>
      <c r="I372" s="592"/>
      <c r="J372" s="651"/>
      <c r="K372" s="598"/>
      <c r="L372" s="658"/>
      <c r="M372" s="658"/>
      <c r="N372" s="659"/>
      <c r="O372" s="576"/>
      <c r="P372" s="576"/>
      <c r="X372" s="564"/>
      <c r="Z372" s="564"/>
      <c r="AA372" s="564"/>
      <c r="AB372" s="564"/>
      <c r="AD372" s="564"/>
      <c r="AE372" s="564"/>
    </row>
    <row r="373" spans="3:31" s="578" customFormat="1" ht="15" customHeight="1">
      <c r="C373" s="694">
        <f>+C365+1</f>
        <v>42</v>
      </c>
      <c r="D373" s="688"/>
      <c r="E373" s="691" t="s">
        <v>251</v>
      </c>
      <c r="F373" s="691"/>
      <c r="G373" s="691"/>
      <c r="H373" s="690"/>
      <c r="I373" s="661"/>
      <c r="J373" s="669" t="s">
        <v>116</v>
      </c>
      <c r="K373" s="661"/>
      <c r="L373" s="661"/>
      <c r="M373" s="659"/>
      <c r="N373" s="677">
        <f>SUM(M374:M380)</f>
        <v>38165</v>
      </c>
      <c r="O373" s="579"/>
      <c r="P373" s="579"/>
      <c r="X373" s="580"/>
      <c r="Z373" s="580"/>
      <c r="AA373" s="580"/>
      <c r="AB373" s="580"/>
      <c r="AD373" s="580"/>
      <c r="AE373" s="580"/>
    </row>
    <row r="374" spans="3:31" s="561" customFormat="1" ht="15" customHeight="1">
      <c r="C374" s="587"/>
      <c r="D374" s="686"/>
      <c r="E374" s="595" t="s">
        <v>252</v>
      </c>
      <c r="F374" s="595"/>
      <c r="G374" s="595"/>
      <c r="H374" s="596"/>
      <c r="I374" s="653"/>
      <c r="J374" s="597" t="s">
        <v>149</v>
      </c>
      <c r="K374" s="599">
        <v>1</v>
      </c>
      <c r="L374" s="658">
        <f>Bhn!M152</f>
        <v>12090</v>
      </c>
      <c r="M374" s="658">
        <f aca="true" t="shared" si="24" ref="M374:M380">K374*L374</f>
        <v>12090</v>
      </c>
      <c r="N374" s="661"/>
      <c r="O374" s="576"/>
      <c r="P374" s="576"/>
      <c r="X374" s="564"/>
      <c r="Z374" s="564"/>
      <c r="AA374" s="564"/>
      <c r="AB374" s="564"/>
      <c r="AD374" s="564"/>
      <c r="AE374" s="564"/>
    </row>
    <row r="375" spans="3:31" s="561" customFormat="1" ht="15" customHeight="1">
      <c r="C375" s="587"/>
      <c r="D375" s="686"/>
      <c r="E375" s="595" t="s">
        <v>253</v>
      </c>
      <c r="F375" s="595"/>
      <c r="G375" s="595"/>
      <c r="H375" s="596"/>
      <c r="I375" s="653"/>
      <c r="J375" s="597" t="s">
        <v>149</v>
      </c>
      <c r="K375" s="599">
        <v>1</v>
      </c>
      <c r="L375" s="658">
        <f>Bhn!M154</f>
        <v>10440</v>
      </c>
      <c r="M375" s="658">
        <f t="shared" si="24"/>
        <v>10440</v>
      </c>
      <c r="N375" s="661"/>
      <c r="O375" s="576"/>
      <c r="P375" s="576"/>
      <c r="X375" s="564"/>
      <c r="Z375" s="564"/>
      <c r="AA375" s="564"/>
      <c r="AB375" s="564"/>
      <c r="AD375" s="564"/>
      <c r="AE375" s="564"/>
    </row>
    <row r="376" spans="3:31" s="561" customFormat="1" ht="15" customHeight="1">
      <c r="C376" s="587"/>
      <c r="D376" s="686"/>
      <c r="E376" s="595" t="s">
        <v>254</v>
      </c>
      <c r="F376" s="595"/>
      <c r="G376" s="595"/>
      <c r="H376" s="596"/>
      <c r="I376" s="653"/>
      <c r="J376" s="597" t="s">
        <v>149</v>
      </c>
      <c r="K376" s="599">
        <v>1</v>
      </c>
      <c r="L376" s="658">
        <f>Bhn!M155</f>
        <v>4390</v>
      </c>
      <c r="M376" s="658">
        <f t="shared" si="24"/>
        <v>4390</v>
      </c>
      <c r="N376" s="661"/>
      <c r="O376" s="576"/>
      <c r="P376" s="576"/>
      <c r="X376" s="564"/>
      <c r="Z376" s="564"/>
      <c r="AA376" s="564"/>
      <c r="AB376" s="564"/>
      <c r="AD376" s="564"/>
      <c r="AE376" s="564"/>
    </row>
    <row r="377" spans="3:31" s="561" customFormat="1" ht="15" customHeight="1">
      <c r="C377" s="587"/>
      <c r="D377" s="686"/>
      <c r="E377" s="696" t="s">
        <v>49</v>
      </c>
      <c r="F377" s="595"/>
      <c r="G377" s="595"/>
      <c r="H377" s="596"/>
      <c r="I377" s="653"/>
      <c r="J377" s="597"/>
      <c r="K377" s="599">
        <v>0.16</v>
      </c>
      <c r="L377" s="658">
        <f>Bhn!$M$27</f>
        <v>40000</v>
      </c>
      <c r="M377" s="658">
        <f t="shared" si="24"/>
        <v>6400</v>
      </c>
      <c r="N377" s="661"/>
      <c r="O377" s="576"/>
      <c r="P377" s="576"/>
      <c r="X377" s="564"/>
      <c r="Z377" s="564"/>
      <c r="AA377" s="564"/>
      <c r="AB377" s="564"/>
      <c r="AD377" s="564"/>
      <c r="AE377" s="564"/>
    </row>
    <row r="378" spans="3:31" s="561" customFormat="1" ht="15" customHeight="1">
      <c r="C378" s="587"/>
      <c r="D378" s="686"/>
      <c r="E378" s="696" t="s">
        <v>50</v>
      </c>
      <c r="F378" s="595"/>
      <c r="G378" s="595"/>
      <c r="H378" s="596"/>
      <c r="I378" s="653"/>
      <c r="J378" s="597"/>
      <c r="K378" s="599">
        <v>0.061</v>
      </c>
      <c r="L378" s="658">
        <f>Bhn!$M$28</f>
        <v>45000</v>
      </c>
      <c r="M378" s="658">
        <f t="shared" si="24"/>
        <v>2745</v>
      </c>
      <c r="N378" s="661"/>
      <c r="O378" s="576"/>
      <c r="P378" s="576"/>
      <c r="X378" s="564"/>
      <c r="Z378" s="564"/>
      <c r="AA378" s="564"/>
      <c r="AB378" s="564"/>
      <c r="AD378" s="564"/>
      <c r="AE378" s="564"/>
    </row>
    <row r="379" spans="3:31" s="561" customFormat="1" ht="15" customHeight="1">
      <c r="C379" s="587"/>
      <c r="D379" s="686"/>
      <c r="E379" s="696" t="s">
        <v>43</v>
      </c>
      <c r="F379" s="595"/>
      <c r="G379" s="595"/>
      <c r="H379" s="596"/>
      <c r="I379" s="653"/>
      <c r="J379" s="653"/>
      <c r="K379" s="599">
        <v>0.03</v>
      </c>
      <c r="L379" s="658">
        <f>Bhn!$M$23</f>
        <v>30000</v>
      </c>
      <c r="M379" s="658">
        <f t="shared" si="24"/>
        <v>900</v>
      </c>
      <c r="N379" s="661"/>
      <c r="O379" s="576"/>
      <c r="P379" s="576"/>
      <c r="X379" s="564"/>
      <c r="Z379" s="564"/>
      <c r="AA379" s="564"/>
      <c r="AB379" s="564"/>
      <c r="AD379" s="564"/>
      <c r="AE379" s="564"/>
    </row>
    <row r="380" spans="3:31" s="561" customFormat="1" ht="15" customHeight="1">
      <c r="C380" s="587"/>
      <c r="D380" s="686"/>
      <c r="E380" s="696" t="s">
        <v>46</v>
      </c>
      <c r="F380" s="595"/>
      <c r="G380" s="595"/>
      <c r="H380" s="596"/>
      <c r="I380" s="653"/>
      <c r="J380" s="653"/>
      <c r="K380" s="599">
        <v>0.03</v>
      </c>
      <c r="L380" s="658">
        <f>Bhn!$M$24</f>
        <v>40000</v>
      </c>
      <c r="M380" s="658">
        <f t="shared" si="24"/>
        <v>1200</v>
      </c>
      <c r="N380" s="670"/>
      <c r="O380" s="576"/>
      <c r="P380" s="576"/>
      <c r="X380" s="564"/>
      <c r="Z380" s="564"/>
      <c r="AA380" s="564"/>
      <c r="AB380" s="564"/>
      <c r="AD380" s="564"/>
      <c r="AE380" s="564"/>
    </row>
    <row r="381" spans="3:31" s="561" customFormat="1" ht="15" customHeight="1">
      <c r="C381" s="587"/>
      <c r="D381" s="686"/>
      <c r="E381" s="588"/>
      <c r="F381" s="595"/>
      <c r="G381" s="590"/>
      <c r="H381" s="591"/>
      <c r="I381" s="592"/>
      <c r="J381" s="651"/>
      <c r="K381" s="598"/>
      <c r="L381" s="658"/>
      <c r="M381" s="658"/>
      <c r="N381" s="659"/>
      <c r="O381" s="576"/>
      <c r="P381" s="576"/>
      <c r="V381" s="564"/>
      <c r="X381" s="564"/>
      <c r="AD381" s="564"/>
      <c r="AE381" s="564"/>
    </row>
    <row r="382" spans="3:31" s="578" customFormat="1" ht="15" customHeight="1">
      <c r="C382" s="694">
        <f>+C373+1</f>
        <v>43</v>
      </c>
      <c r="D382" s="688"/>
      <c r="E382" s="687" t="s">
        <v>30</v>
      </c>
      <c r="F382" s="691"/>
      <c r="G382" s="689"/>
      <c r="H382" s="693"/>
      <c r="I382" s="654"/>
      <c r="J382" s="655" t="s">
        <v>116</v>
      </c>
      <c r="K382" s="661"/>
      <c r="L382" s="659"/>
      <c r="M382" s="659"/>
      <c r="N382" s="657">
        <f>SUM(M383:M388)</f>
        <v>246719</v>
      </c>
      <c r="O382" s="560"/>
      <c r="P382" s="560"/>
      <c r="AD382" s="580"/>
      <c r="AE382" s="580"/>
    </row>
    <row r="383" spans="3:31" s="561" customFormat="1" ht="15" customHeight="1">
      <c r="C383" s="587"/>
      <c r="D383" s="686"/>
      <c r="E383" s="697" t="s">
        <v>165</v>
      </c>
      <c r="F383" s="595"/>
      <c r="G383" s="590"/>
      <c r="H383" s="591"/>
      <c r="I383" s="592"/>
      <c r="J383" s="593" t="s">
        <v>134</v>
      </c>
      <c r="K383" s="598">
        <v>0.033</v>
      </c>
      <c r="L383" s="658">
        <f>Bhn!$M$52</f>
        <v>6100000</v>
      </c>
      <c r="M383" s="658">
        <f aca="true" t="shared" si="25" ref="M383:M406">K383*L383</f>
        <v>201300</v>
      </c>
      <c r="N383" s="657"/>
      <c r="O383" s="559"/>
      <c r="P383" s="559"/>
      <c r="Z383" s="564"/>
      <c r="AA383" s="564"/>
      <c r="AC383" s="564"/>
      <c r="AD383" s="564"/>
      <c r="AE383" s="564"/>
    </row>
    <row r="384" spans="3:31" s="561" customFormat="1" ht="15" customHeight="1">
      <c r="C384" s="587"/>
      <c r="D384" s="686"/>
      <c r="E384" s="588" t="s">
        <v>72</v>
      </c>
      <c r="F384" s="595"/>
      <c r="G384" s="590"/>
      <c r="H384" s="591"/>
      <c r="I384" s="592"/>
      <c r="J384" s="593" t="s">
        <v>148</v>
      </c>
      <c r="K384" s="598">
        <v>0.1</v>
      </c>
      <c r="L384" s="658">
        <f>Bhn!$M$48</f>
        <v>8590</v>
      </c>
      <c r="M384" s="658">
        <f t="shared" si="25"/>
        <v>859</v>
      </c>
      <c r="N384" s="657"/>
      <c r="O384" s="559"/>
      <c r="P384" s="559"/>
      <c r="X384" s="564"/>
      <c r="Z384" s="564"/>
      <c r="AA384" s="564"/>
      <c r="AD384" s="564"/>
      <c r="AE384" s="564"/>
    </row>
    <row r="385" spans="3:31" s="561" customFormat="1" ht="15" customHeight="1">
      <c r="C385" s="587"/>
      <c r="D385" s="686"/>
      <c r="E385" s="588" t="s">
        <v>49</v>
      </c>
      <c r="F385" s="595"/>
      <c r="G385" s="590"/>
      <c r="H385" s="591"/>
      <c r="I385" s="592"/>
      <c r="J385" s="651"/>
      <c r="K385" s="598">
        <v>0.8</v>
      </c>
      <c r="L385" s="658">
        <f>Bhn!$M$27</f>
        <v>40000</v>
      </c>
      <c r="M385" s="658">
        <f t="shared" si="25"/>
        <v>32000</v>
      </c>
      <c r="N385" s="657"/>
      <c r="O385" s="559"/>
      <c r="P385" s="559"/>
      <c r="X385" s="564"/>
      <c r="Y385" s="564"/>
      <c r="Z385" s="564"/>
      <c r="AA385" s="564"/>
      <c r="AD385" s="564"/>
      <c r="AE385" s="564"/>
    </row>
    <row r="386" spans="3:31" s="561" customFormat="1" ht="15" customHeight="1">
      <c r="C386" s="587"/>
      <c r="D386" s="686"/>
      <c r="E386" s="588" t="s">
        <v>50</v>
      </c>
      <c r="F386" s="595"/>
      <c r="G386" s="590"/>
      <c r="H386" s="591"/>
      <c r="I386" s="592"/>
      <c r="J386" s="651"/>
      <c r="K386" s="598">
        <v>0.08</v>
      </c>
      <c r="L386" s="658">
        <f>Bhn!$M$28</f>
        <v>45000</v>
      </c>
      <c r="M386" s="658">
        <f t="shared" si="25"/>
        <v>3600</v>
      </c>
      <c r="N386" s="657"/>
      <c r="O386" s="559"/>
      <c r="P386" s="559"/>
      <c r="X386" s="564"/>
      <c r="Y386" s="564"/>
      <c r="Z386" s="564"/>
      <c r="AA386" s="564"/>
      <c r="AB386" s="564"/>
      <c r="AD386" s="564"/>
      <c r="AE386" s="564"/>
    </row>
    <row r="387" spans="3:31" s="561" customFormat="1" ht="15" customHeight="1">
      <c r="C387" s="587"/>
      <c r="D387" s="686"/>
      <c r="E387" s="588" t="s">
        <v>43</v>
      </c>
      <c r="F387" s="595"/>
      <c r="G387" s="590"/>
      <c r="H387" s="591"/>
      <c r="I387" s="592"/>
      <c r="J387" s="651"/>
      <c r="K387" s="598">
        <v>0.28</v>
      </c>
      <c r="L387" s="658">
        <f>Bhn!$M$23</f>
        <v>30000</v>
      </c>
      <c r="M387" s="658">
        <f t="shared" si="25"/>
        <v>8400</v>
      </c>
      <c r="N387" s="657"/>
      <c r="O387" s="559"/>
      <c r="P387" s="559"/>
      <c r="X387" s="564"/>
      <c r="Z387" s="564"/>
      <c r="AA387" s="564"/>
      <c r="AD387" s="564"/>
      <c r="AE387" s="564"/>
    </row>
    <row r="388" spans="3:31" s="561" customFormat="1" ht="15" customHeight="1">
      <c r="C388" s="587"/>
      <c r="D388" s="686"/>
      <c r="E388" s="588" t="s">
        <v>46</v>
      </c>
      <c r="F388" s="595"/>
      <c r="G388" s="590"/>
      <c r="H388" s="591"/>
      <c r="I388" s="592"/>
      <c r="J388" s="651"/>
      <c r="K388" s="598">
        <v>0.014</v>
      </c>
      <c r="L388" s="658">
        <f>Bhn!$M$24</f>
        <v>40000</v>
      </c>
      <c r="M388" s="658">
        <f t="shared" si="25"/>
        <v>560</v>
      </c>
      <c r="N388" s="659"/>
      <c r="O388" s="576"/>
      <c r="P388" s="576"/>
      <c r="X388" s="564"/>
      <c r="Y388" s="564"/>
      <c r="AA388" s="564"/>
      <c r="AB388" s="564"/>
      <c r="AD388" s="564"/>
      <c r="AE388" s="564"/>
    </row>
    <row r="389" spans="3:31" s="561" customFormat="1" ht="15" customHeight="1">
      <c r="C389" s="587"/>
      <c r="D389" s="686"/>
      <c r="E389" s="588"/>
      <c r="F389" s="595"/>
      <c r="G389" s="590"/>
      <c r="H389" s="591"/>
      <c r="I389" s="592"/>
      <c r="J389" s="651"/>
      <c r="K389" s="598"/>
      <c r="L389" s="658"/>
      <c r="M389" s="658"/>
      <c r="N389" s="659"/>
      <c r="O389" s="576"/>
      <c r="P389" s="576"/>
      <c r="X389" s="564"/>
      <c r="Y389" s="564"/>
      <c r="AA389" s="564"/>
      <c r="AB389" s="564"/>
      <c r="AD389" s="564"/>
      <c r="AE389" s="564"/>
    </row>
    <row r="390" spans="3:31" s="578" customFormat="1" ht="15" customHeight="1">
      <c r="C390" s="694">
        <f>C382+1</f>
        <v>44</v>
      </c>
      <c r="D390" s="688"/>
      <c r="E390" s="687" t="s">
        <v>926</v>
      </c>
      <c r="F390" s="691"/>
      <c r="G390" s="689"/>
      <c r="H390" s="693"/>
      <c r="I390" s="662"/>
      <c r="J390" s="660" t="s">
        <v>466</v>
      </c>
      <c r="K390" s="678"/>
      <c r="L390" s="659"/>
      <c r="M390" s="659"/>
      <c r="N390" s="659">
        <f>SUM(M391:M396)</f>
        <v>420795</v>
      </c>
      <c r="O390" s="579"/>
      <c r="P390" s="579"/>
      <c r="X390" s="580"/>
      <c r="Y390" s="580"/>
      <c r="AA390" s="580"/>
      <c r="AB390" s="580"/>
      <c r="AD390" s="580"/>
      <c r="AE390" s="580"/>
    </row>
    <row r="391" spans="3:31" s="561" customFormat="1" ht="15" customHeight="1">
      <c r="C391" s="587"/>
      <c r="D391" s="686"/>
      <c r="E391" s="588" t="s">
        <v>1051</v>
      </c>
      <c r="F391" s="595"/>
      <c r="G391" s="590"/>
      <c r="H391" s="591"/>
      <c r="I391" s="592"/>
      <c r="J391" s="651" t="s">
        <v>153</v>
      </c>
      <c r="K391" s="598">
        <f>1/0.8</f>
        <v>1.25</v>
      </c>
      <c r="L391" s="658">
        <f>Bhn!$M$143</f>
        <v>30000</v>
      </c>
      <c r="M391" s="658">
        <f t="shared" si="25"/>
        <v>37500</v>
      </c>
      <c r="N391" s="659"/>
      <c r="O391" s="576"/>
      <c r="P391" s="576"/>
      <c r="X391" s="564"/>
      <c r="Y391" s="564"/>
      <c r="AA391" s="564"/>
      <c r="AB391" s="564"/>
      <c r="AD391" s="564"/>
      <c r="AE391" s="564"/>
    </row>
    <row r="392" spans="3:31" s="561" customFormat="1" ht="15" customHeight="1">
      <c r="C392" s="587"/>
      <c r="D392" s="686"/>
      <c r="E392" s="588" t="s">
        <v>72</v>
      </c>
      <c r="F392" s="595"/>
      <c r="G392" s="590"/>
      <c r="H392" s="591"/>
      <c r="I392" s="592"/>
      <c r="J392" s="651"/>
      <c r="K392" s="598">
        <v>0.5</v>
      </c>
      <c r="L392" s="658">
        <f>Bhn!$M$48</f>
        <v>8590</v>
      </c>
      <c r="M392" s="658">
        <f t="shared" si="25"/>
        <v>4295</v>
      </c>
      <c r="N392" s="659"/>
      <c r="O392" s="576"/>
      <c r="P392" s="576"/>
      <c r="X392" s="564"/>
      <c r="Y392" s="564"/>
      <c r="AA392" s="564"/>
      <c r="AB392" s="564"/>
      <c r="AD392" s="564"/>
      <c r="AE392" s="564"/>
    </row>
    <row r="393" spans="3:31" s="561" customFormat="1" ht="15" customHeight="1">
      <c r="C393" s="587"/>
      <c r="D393" s="686"/>
      <c r="E393" s="588" t="s">
        <v>49</v>
      </c>
      <c r="F393" s="595"/>
      <c r="G393" s="590"/>
      <c r="H393" s="591"/>
      <c r="I393" s="592"/>
      <c r="J393" s="651"/>
      <c r="K393" s="598">
        <v>6</v>
      </c>
      <c r="L393" s="658">
        <f>Bhn!$M$27</f>
        <v>40000</v>
      </c>
      <c r="M393" s="658">
        <f t="shared" si="25"/>
        <v>240000</v>
      </c>
      <c r="N393" s="659"/>
      <c r="O393" s="576"/>
      <c r="P393" s="576"/>
      <c r="X393" s="564"/>
      <c r="Y393" s="564"/>
      <c r="AA393" s="564"/>
      <c r="AB393" s="564"/>
      <c r="AD393" s="564"/>
      <c r="AE393" s="564"/>
    </row>
    <row r="394" spans="3:31" s="561" customFormat="1" ht="15" customHeight="1">
      <c r="C394" s="587"/>
      <c r="D394" s="686"/>
      <c r="E394" s="588" t="s">
        <v>50</v>
      </c>
      <c r="F394" s="595"/>
      <c r="G394" s="590"/>
      <c r="H394" s="591"/>
      <c r="I394" s="592"/>
      <c r="J394" s="651"/>
      <c r="K394" s="598">
        <v>0.6</v>
      </c>
      <c r="L394" s="658">
        <f>Bhn!$M$28</f>
        <v>45000</v>
      </c>
      <c r="M394" s="658">
        <f t="shared" si="25"/>
        <v>27000</v>
      </c>
      <c r="N394" s="659"/>
      <c r="O394" s="576"/>
      <c r="P394" s="576"/>
      <c r="X394" s="564"/>
      <c r="Y394" s="564"/>
      <c r="AA394" s="564"/>
      <c r="AB394" s="564"/>
      <c r="AD394" s="564"/>
      <c r="AE394" s="564"/>
    </row>
    <row r="395" spans="3:31" s="561" customFormat="1" ht="15" customHeight="1">
      <c r="C395" s="587"/>
      <c r="D395" s="686"/>
      <c r="E395" s="588" t="s">
        <v>43</v>
      </c>
      <c r="F395" s="595"/>
      <c r="G395" s="590"/>
      <c r="H395" s="591"/>
      <c r="I395" s="592"/>
      <c r="J395" s="651"/>
      <c r="K395" s="598">
        <v>3.5</v>
      </c>
      <c r="L395" s="658">
        <f>Bhn!$M$23</f>
        <v>30000</v>
      </c>
      <c r="M395" s="658">
        <f t="shared" si="25"/>
        <v>105000</v>
      </c>
      <c r="N395" s="659"/>
      <c r="O395" s="576"/>
      <c r="P395" s="576"/>
      <c r="X395" s="564"/>
      <c r="Y395" s="564"/>
      <c r="AA395" s="564"/>
      <c r="AB395" s="564"/>
      <c r="AD395" s="564"/>
      <c r="AE395" s="564"/>
    </row>
    <row r="396" spans="3:31" s="561" customFormat="1" ht="15" customHeight="1">
      <c r="C396" s="587"/>
      <c r="D396" s="686"/>
      <c r="E396" s="588" t="s">
        <v>46</v>
      </c>
      <c r="F396" s="595"/>
      <c r="G396" s="590"/>
      <c r="H396" s="591"/>
      <c r="I396" s="592"/>
      <c r="J396" s="651"/>
      <c r="K396" s="598">
        <v>0.175</v>
      </c>
      <c r="L396" s="658">
        <f>Bhn!$M$24</f>
        <v>40000</v>
      </c>
      <c r="M396" s="658">
        <f t="shared" si="25"/>
        <v>7000</v>
      </c>
      <c r="N396" s="659"/>
      <c r="O396" s="576"/>
      <c r="P396" s="576"/>
      <c r="X396" s="564"/>
      <c r="Y396" s="564"/>
      <c r="AA396" s="564"/>
      <c r="AB396" s="564"/>
      <c r="AD396" s="564"/>
      <c r="AE396" s="564"/>
    </row>
    <row r="397" spans="3:31" s="561" customFormat="1" ht="15" customHeight="1">
      <c r="C397" s="587"/>
      <c r="D397" s="686"/>
      <c r="E397" s="588"/>
      <c r="F397" s="595"/>
      <c r="G397" s="590"/>
      <c r="H397" s="591"/>
      <c r="I397" s="592"/>
      <c r="J397" s="651"/>
      <c r="K397" s="598"/>
      <c r="L397" s="658"/>
      <c r="M397" s="658"/>
      <c r="N397" s="659"/>
      <c r="O397" s="576"/>
      <c r="P397" s="576"/>
      <c r="X397" s="564"/>
      <c r="Y397" s="564"/>
      <c r="AA397" s="564"/>
      <c r="AB397" s="564"/>
      <c r="AD397" s="564"/>
      <c r="AE397" s="564"/>
    </row>
    <row r="398" spans="3:31" s="578" customFormat="1" ht="15" customHeight="1">
      <c r="C398" s="694"/>
      <c r="D398" s="688"/>
      <c r="E398" s="687" t="s">
        <v>870</v>
      </c>
      <c r="F398" s="691"/>
      <c r="G398" s="689"/>
      <c r="H398" s="693"/>
      <c r="I398" s="662"/>
      <c r="J398" s="660" t="s">
        <v>116</v>
      </c>
      <c r="K398" s="678"/>
      <c r="L398" s="659"/>
      <c r="M398" s="659"/>
      <c r="N398" s="659">
        <f>N390/10</f>
        <v>42079.5</v>
      </c>
      <c r="O398" s="579"/>
      <c r="P398" s="579"/>
      <c r="X398" s="580"/>
      <c r="Y398" s="580"/>
      <c r="AA398" s="580"/>
      <c r="AB398" s="580"/>
      <c r="AD398" s="580"/>
      <c r="AE398" s="580"/>
    </row>
    <row r="399" spans="3:31" s="561" customFormat="1" ht="15" customHeight="1">
      <c r="C399" s="587"/>
      <c r="D399" s="686"/>
      <c r="E399" s="588"/>
      <c r="F399" s="595"/>
      <c r="G399" s="590"/>
      <c r="H399" s="591"/>
      <c r="I399" s="592"/>
      <c r="J399" s="651"/>
      <c r="K399" s="598"/>
      <c r="L399" s="658"/>
      <c r="M399" s="658"/>
      <c r="N399" s="659"/>
      <c r="O399" s="576"/>
      <c r="P399" s="576"/>
      <c r="X399" s="564"/>
      <c r="Y399" s="564"/>
      <c r="AA399" s="564"/>
      <c r="AB399" s="564"/>
      <c r="AD399" s="564"/>
      <c r="AE399" s="564"/>
    </row>
    <row r="400" spans="3:31" s="578" customFormat="1" ht="15" customHeight="1">
      <c r="C400" s="694">
        <f>+C390+1</f>
        <v>45</v>
      </c>
      <c r="D400" s="688"/>
      <c r="E400" s="687" t="s">
        <v>154</v>
      </c>
      <c r="F400" s="691"/>
      <c r="G400" s="689"/>
      <c r="H400" s="693"/>
      <c r="I400" s="654"/>
      <c r="J400" s="655" t="s">
        <v>122</v>
      </c>
      <c r="K400" s="661"/>
      <c r="L400" s="659"/>
      <c r="M400" s="659"/>
      <c r="N400" s="657">
        <f>SUM(M401:M406)</f>
        <v>45619.5</v>
      </c>
      <c r="O400" s="560"/>
      <c r="P400" s="560"/>
      <c r="X400" s="580"/>
      <c r="AD400" s="580"/>
      <c r="AE400" s="580"/>
    </row>
    <row r="401" spans="3:31" s="561" customFormat="1" ht="15" customHeight="1">
      <c r="C401" s="587"/>
      <c r="D401" s="686"/>
      <c r="E401" s="697" t="s">
        <v>165</v>
      </c>
      <c r="F401" s="595"/>
      <c r="G401" s="590"/>
      <c r="H401" s="591"/>
      <c r="I401" s="592"/>
      <c r="J401" s="593" t="s">
        <v>134</v>
      </c>
      <c r="K401" s="598">
        <f>0.02*0.2*1.1</f>
        <v>0.0044</v>
      </c>
      <c r="L401" s="658">
        <f>Bhn!$M$52</f>
        <v>6100000</v>
      </c>
      <c r="M401" s="658">
        <f t="shared" si="25"/>
        <v>26840</v>
      </c>
      <c r="N401" s="657"/>
      <c r="O401" s="559"/>
      <c r="P401" s="559"/>
      <c r="X401" s="564"/>
      <c r="AC401" s="564"/>
      <c r="AD401" s="564"/>
      <c r="AE401" s="564"/>
    </row>
    <row r="402" spans="3:31" s="561" customFormat="1" ht="15" customHeight="1">
      <c r="C402" s="587"/>
      <c r="D402" s="686"/>
      <c r="E402" s="588" t="s">
        <v>72</v>
      </c>
      <c r="F402" s="595"/>
      <c r="G402" s="590"/>
      <c r="H402" s="591"/>
      <c r="I402" s="592"/>
      <c r="J402" s="593" t="s">
        <v>148</v>
      </c>
      <c r="K402" s="598">
        <v>0.05</v>
      </c>
      <c r="L402" s="658">
        <f>Bhn!$M$48</f>
        <v>8590</v>
      </c>
      <c r="M402" s="658">
        <f t="shared" si="25"/>
        <v>429.5</v>
      </c>
      <c r="N402" s="657"/>
      <c r="O402" s="559"/>
      <c r="P402" s="559"/>
      <c r="Z402" s="564"/>
      <c r="AA402" s="564"/>
      <c r="AC402" s="564"/>
      <c r="AD402" s="564"/>
      <c r="AE402" s="564"/>
    </row>
    <row r="403" spans="3:31" s="561" customFormat="1" ht="15" customHeight="1">
      <c r="C403" s="587"/>
      <c r="D403" s="686"/>
      <c r="E403" s="588" t="s">
        <v>49</v>
      </c>
      <c r="F403" s="595"/>
      <c r="G403" s="590"/>
      <c r="H403" s="591"/>
      <c r="I403" s="592"/>
      <c r="J403" s="651"/>
      <c r="K403" s="598">
        <v>0.3</v>
      </c>
      <c r="L403" s="658">
        <f>Bhn!$M$27</f>
        <v>40000</v>
      </c>
      <c r="M403" s="658">
        <f t="shared" si="25"/>
        <v>12000</v>
      </c>
      <c r="N403" s="657"/>
      <c r="O403" s="559"/>
      <c r="P403" s="559"/>
      <c r="V403" s="564"/>
      <c r="X403" s="564"/>
      <c r="Z403" s="564"/>
      <c r="AA403" s="564"/>
      <c r="AC403" s="564"/>
      <c r="AD403" s="564"/>
      <c r="AE403" s="564"/>
    </row>
    <row r="404" spans="3:31" s="561" customFormat="1" ht="15" customHeight="1">
      <c r="C404" s="587"/>
      <c r="D404" s="686"/>
      <c r="E404" s="588" t="s">
        <v>50</v>
      </c>
      <c r="F404" s="595"/>
      <c r="G404" s="590"/>
      <c r="H404" s="591"/>
      <c r="I404" s="592"/>
      <c r="J404" s="651"/>
      <c r="K404" s="598">
        <v>0.03</v>
      </c>
      <c r="L404" s="658">
        <f>Bhn!$M$28</f>
        <v>45000</v>
      </c>
      <c r="M404" s="658">
        <f t="shared" si="25"/>
        <v>1350</v>
      </c>
      <c r="N404" s="657"/>
      <c r="O404" s="559"/>
      <c r="P404" s="559"/>
      <c r="X404" s="564"/>
      <c r="Z404" s="564"/>
      <c r="AA404" s="564"/>
      <c r="AC404" s="564"/>
      <c r="AD404" s="564"/>
      <c r="AE404" s="564"/>
    </row>
    <row r="405" spans="3:31" s="561" customFormat="1" ht="15" customHeight="1">
      <c r="C405" s="587"/>
      <c r="D405" s="686"/>
      <c r="E405" s="588" t="s">
        <v>43</v>
      </c>
      <c r="F405" s="595"/>
      <c r="G405" s="590"/>
      <c r="H405" s="591"/>
      <c r="I405" s="592"/>
      <c r="J405" s="651"/>
      <c r="K405" s="598">
        <v>0.1</v>
      </c>
      <c r="L405" s="658">
        <f>Bhn!$M$23</f>
        <v>30000</v>
      </c>
      <c r="M405" s="658">
        <f t="shared" si="25"/>
        <v>3000</v>
      </c>
      <c r="N405" s="657"/>
      <c r="O405" s="559"/>
      <c r="P405" s="559"/>
      <c r="X405" s="564"/>
      <c r="Z405" s="564"/>
      <c r="AA405" s="564"/>
      <c r="AC405" s="564"/>
      <c r="AD405" s="564"/>
      <c r="AE405" s="564"/>
    </row>
    <row r="406" spans="3:31" s="561" customFormat="1" ht="15" customHeight="1">
      <c r="C406" s="587"/>
      <c r="D406" s="686"/>
      <c r="E406" s="588" t="s">
        <v>46</v>
      </c>
      <c r="F406" s="595"/>
      <c r="G406" s="590"/>
      <c r="H406" s="591"/>
      <c r="I406" s="592"/>
      <c r="J406" s="651"/>
      <c r="K406" s="598">
        <v>0.05</v>
      </c>
      <c r="L406" s="658">
        <f>Bhn!$M$24</f>
        <v>40000</v>
      </c>
      <c r="M406" s="658">
        <f t="shared" si="25"/>
        <v>2000</v>
      </c>
      <c r="N406" s="659"/>
      <c r="O406" s="576"/>
      <c r="P406" s="576"/>
      <c r="X406" s="564"/>
      <c r="Z406" s="564"/>
      <c r="AA406" s="564"/>
      <c r="AC406" s="564"/>
      <c r="AD406" s="564"/>
      <c r="AE406" s="564"/>
    </row>
    <row r="407" spans="3:31" s="561" customFormat="1" ht="15" customHeight="1">
      <c r="C407" s="587"/>
      <c r="D407" s="686"/>
      <c r="E407" s="588"/>
      <c r="F407" s="595"/>
      <c r="G407" s="590"/>
      <c r="H407" s="591"/>
      <c r="I407" s="592"/>
      <c r="J407" s="651"/>
      <c r="K407" s="598"/>
      <c r="L407" s="658"/>
      <c r="M407" s="658"/>
      <c r="N407" s="659"/>
      <c r="O407" s="576"/>
      <c r="P407" s="576"/>
      <c r="X407" s="564"/>
      <c r="Z407" s="564"/>
      <c r="AA407" s="564"/>
      <c r="AB407" s="564"/>
      <c r="AD407" s="564"/>
      <c r="AE407" s="564"/>
    </row>
    <row r="408" spans="3:31" s="578" customFormat="1" ht="15" customHeight="1">
      <c r="C408" s="751">
        <f>+C400+1</f>
        <v>46</v>
      </c>
      <c r="D408" s="694"/>
      <c r="E408" s="691" t="s">
        <v>33</v>
      </c>
      <c r="F408" s="691"/>
      <c r="G408" s="691"/>
      <c r="H408" s="690"/>
      <c r="I408" s="669"/>
      <c r="J408" s="669" t="s">
        <v>116</v>
      </c>
      <c r="K408" s="661"/>
      <c r="L408" s="659"/>
      <c r="M408" s="659"/>
      <c r="N408" s="677">
        <f>SUM(M409:M414)</f>
        <v>70760</v>
      </c>
      <c r="O408" s="579"/>
      <c r="P408" s="579"/>
      <c r="X408" s="580"/>
      <c r="Z408" s="580"/>
      <c r="AA408" s="580"/>
      <c r="AB408" s="580"/>
      <c r="AD408" s="580"/>
      <c r="AE408" s="580"/>
    </row>
    <row r="409" spans="3:31" s="561" customFormat="1" ht="15" customHeight="1">
      <c r="C409" s="587"/>
      <c r="D409" s="587"/>
      <c r="E409" s="588" t="s">
        <v>34</v>
      </c>
      <c r="F409" s="595"/>
      <c r="G409" s="595"/>
      <c r="H409" s="596"/>
      <c r="I409" s="597"/>
      <c r="J409" s="597" t="s">
        <v>149</v>
      </c>
      <c r="K409" s="599">
        <v>1</v>
      </c>
      <c r="L409" s="658">
        <f>Bhn!$M$148</f>
        <v>13210</v>
      </c>
      <c r="M409" s="658">
        <f aca="true" t="shared" si="26" ref="M409:M439">K409*L409</f>
        <v>13210</v>
      </c>
      <c r="N409" s="661"/>
      <c r="O409" s="576"/>
      <c r="P409" s="576"/>
      <c r="X409" s="564"/>
      <c r="Z409" s="564"/>
      <c r="AA409" s="564"/>
      <c r="AB409" s="564"/>
      <c r="AD409" s="564"/>
      <c r="AE409" s="564"/>
    </row>
    <row r="410" spans="3:31" s="561" customFormat="1" ht="15" customHeight="1">
      <c r="C410" s="587"/>
      <c r="D410" s="587"/>
      <c r="E410" s="595" t="s">
        <v>14</v>
      </c>
      <c r="F410" s="595"/>
      <c r="G410" s="595"/>
      <c r="H410" s="596"/>
      <c r="I410" s="597"/>
      <c r="J410" s="597" t="s">
        <v>149</v>
      </c>
      <c r="K410" s="599">
        <v>1</v>
      </c>
      <c r="L410" s="658">
        <f>Bhn!$M$149</f>
        <v>30500</v>
      </c>
      <c r="M410" s="658">
        <f t="shared" si="26"/>
        <v>30500</v>
      </c>
      <c r="N410" s="661"/>
      <c r="O410" s="576"/>
      <c r="P410" s="576"/>
      <c r="X410" s="564"/>
      <c r="Z410" s="564"/>
      <c r="AA410" s="564"/>
      <c r="AB410" s="564"/>
      <c r="AD410" s="564"/>
      <c r="AE410" s="564"/>
    </row>
    <row r="411" spans="3:31" s="561" customFormat="1" ht="15" customHeight="1">
      <c r="C411" s="587"/>
      <c r="D411" s="587"/>
      <c r="E411" s="696" t="s">
        <v>49</v>
      </c>
      <c r="F411" s="595"/>
      <c r="G411" s="595"/>
      <c r="H411" s="596"/>
      <c r="I411" s="597"/>
      <c r="J411" s="597"/>
      <c r="K411" s="671">
        <v>0.5</v>
      </c>
      <c r="L411" s="658">
        <f>Bhn!$M$27</f>
        <v>40000</v>
      </c>
      <c r="M411" s="658">
        <f t="shared" si="26"/>
        <v>20000</v>
      </c>
      <c r="N411" s="661"/>
      <c r="O411" s="576"/>
      <c r="P411" s="576"/>
      <c r="X411" s="564"/>
      <c r="Z411" s="564"/>
      <c r="AA411" s="564"/>
      <c r="AB411" s="564"/>
      <c r="AD411" s="564"/>
      <c r="AE411" s="564"/>
    </row>
    <row r="412" spans="3:31" s="561" customFormat="1" ht="15" customHeight="1">
      <c r="C412" s="587"/>
      <c r="D412" s="587"/>
      <c r="E412" s="696" t="s">
        <v>50</v>
      </c>
      <c r="F412" s="595"/>
      <c r="G412" s="595"/>
      <c r="H412" s="596"/>
      <c r="I412" s="597"/>
      <c r="J412" s="597"/>
      <c r="K412" s="671">
        <v>0.05</v>
      </c>
      <c r="L412" s="658">
        <f>Bhn!$M$28</f>
        <v>45000</v>
      </c>
      <c r="M412" s="658">
        <f t="shared" si="26"/>
        <v>2250</v>
      </c>
      <c r="N412" s="661"/>
      <c r="O412" s="576"/>
      <c r="P412" s="576"/>
      <c r="X412" s="564"/>
      <c r="Z412" s="564"/>
      <c r="AA412" s="564"/>
      <c r="AB412" s="564"/>
      <c r="AD412" s="564"/>
      <c r="AE412" s="564"/>
    </row>
    <row r="413" spans="3:31" s="561" customFormat="1" ht="15" customHeight="1">
      <c r="C413" s="587"/>
      <c r="D413" s="587"/>
      <c r="E413" s="696" t="s">
        <v>43</v>
      </c>
      <c r="F413" s="595"/>
      <c r="G413" s="595"/>
      <c r="H413" s="596"/>
      <c r="I413" s="597"/>
      <c r="J413" s="597"/>
      <c r="K413" s="598">
        <v>0.15</v>
      </c>
      <c r="L413" s="658">
        <f>Bhn!$M$23</f>
        <v>30000</v>
      </c>
      <c r="M413" s="658">
        <f t="shared" si="26"/>
        <v>4500</v>
      </c>
      <c r="N413" s="661"/>
      <c r="O413" s="576"/>
      <c r="P413" s="576"/>
      <c r="X413" s="564"/>
      <c r="Z413" s="564"/>
      <c r="AA413" s="564"/>
      <c r="AB413" s="564"/>
      <c r="AD413" s="564"/>
      <c r="AE413" s="564"/>
    </row>
    <row r="414" spans="3:31" s="561" customFormat="1" ht="15" customHeight="1">
      <c r="C414" s="587"/>
      <c r="D414" s="587"/>
      <c r="E414" s="696" t="s">
        <v>46</v>
      </c>
      <c r="F414" s="595"/>
      <c r="G414" s="595"/>
      <c r="H414" s="596"/>
      <c r="I414" s="597"/>
      <c r="J414" s="597"/>
      <c r="K414" s="598">
        <v>0.0075</v>
      </c>
      <c r="L414" s="658">
        <f>Bhn!$M$24</f>
        <v>40000</v>
      </c>
      <c r="M414" s="658">
        <f t="shared" si="26"/>
        <v>300</v>
      </c>
      <c r="N414" s="670"/>
      <c r="O414" s="576"/>
      <c r="P414" s="576"/>
      <c r="X414" s="564"/>
      <c r="Z414" s="564"/>
      <c r="AA414" s="564"/>
      <c r="AB414" s="564"/>
      <c r="AD414" s="564"/>
      <c r="AE414" s="564"/>
    </row>
    <row r="415" spans="3:31" s="561" customFormat="1" ht="15" customHeight="1">
      <c r="C415" s="587"/>
      <c r="D415" s="587"/>
      <c r="E415" s="595"/>
      <c r="F415" s="595"/>
      <c r="G415" s="595"/>
      <c r="H415" s="596"/>
      <c r="I415" s="597"/>
      <c r="J415" s="597"/>
      <c r="K415" s="599"/>
      <c r="L415" s="653"/>
      <c r="M415" s="658"/>
      <c r="N415" s="659"/>
      <c r="O415" s="576"/>
      <c r="P415" s="576"/>
      <c r="X415" s="564"/>
      <c r="Z415" s="564"/>
      <c r="AA415" s="564"/>
      <c r="AB415" s="564"/>
      <c r="AD415" s="564"/>
      <c r="AE415" s="564"/>
    </row>
    <row r="416" spans="3:31" s="578" customFormat="1" ht="15" customHeight="1">
      <c r="C416" s="751">
        <f>C408+1</f>
        <v>47</v>
      </c>
      <c r="D416" s="694"/>
      <c r="E416" s="691" t="s">
        <v>13</v>
      </c>
      <c r="F416" s="691"/>
      <c r="G416" s="691"/>
      <c r="H416" s="690"/>
      <c r="I416" s="669"/>
      <c r="J416" s="669" t="s">
        <v>116</v>
      </c>
      <c r="K416" s="661"/>
      <c r="L416" s="661"/>
      <c r="M416" s="659"/>
      <c r="N416" s="677">
        <f>SUM(M417:M422)</f>
        <v>75050</v>
      </c>
      <c r="O416" s="579"/>
      <c r="P416" s="579"/>
      <c r="X416" s="580"/>
      <c r="Z416" s="580"/>
      <c r="AA416" s="580"/>
      <c r="AB416" s="580"/>
      <c r="AD416" s="580"/>
      <c r="AE416" s="580"/>
    </row>
    <row r="417" spans="3:31" s="561" customFormat="1" ht="15" customHeight="1">
      <c r="C417" s="587"/>
      <c r="D417" s="587"/>
      <c r="E417" s="588" t="s">
        <v>12</v>
      </c>
      <c r="F417" s="595"/>
      <c r="G417" s="595"/>
      <c r="H417" s="596"/>
      <c r="I417" s="597"/>
      <c r="J417" s="597" t="s">
        <v>149</v>
      </c>
      <c r="K417" s="599">
        <v>1</v>
      </c>
      <c r="L417" s="658">
        <f>Bhn!$M$147</f>
        <v>17500</v>
      </c>
      <c r="M417" s="658">
        <f t="shared" si="26"/>
        <v>17500</v>
      </c>
      <c r="N417" s="661"/>
      <c r="O417" s="576"/>
      <c r="P417" s="576"/>
      <c r="X417" s="564"/>
      <c r="Z417" s="564"/>
      <c r="AA417" s="564"/>
      <c r="AB417" s="564"/>
      <c r="AD417" s="564"/>
      <c r="AE417" s="564"/>
    </row>
    <row r="418" spans="3:31" s="561" customFormat="1" ht="15" customHeight="1">
      <c r="C418" s="587"/>
      <c r="D418" s="587"/>
      <c r="E418" s="595" t="s">
        <v>14</v>
      </c>
      <c r="F418" s="595"/>
      <c r="G418" s="595"/>
      <c r="H418" s="596"/>
      <c r="I418" s="597"/>
      <c r="J418" s="597" t="s">
        <v>149</v>
      </c>
      <c r="K418" s="599">
        <v>1</v>
      </c>
      <c r="L418" s="658">
        <f>Bhn!$M$149</f>
        <v>30500</v>
      </c>
      <c r="M418" s="658">
        <f t="shared" si="26"/>
        <v>30500</v>
      </c>
      <c r="N418" s="661"/>
      <c r="O418" s="576"/>
      <c r="P418" s="576"/>
      <c r="X418" s="564"/>
      <c r="Z418" s="564"/>
      <c r="AA418" s="564"/>
      <c r="AB418" s="564"/>
      <c r="AD418" s="564"/>
      <c r="AE418" s="564"/>
    </row>
    <row r="419" spans="3:31" s="561" customFormat="1" ht="15" customHeight="1">
      <c r="C419" s="587"/>
      <c r="D419" s="587"/>
      <c r="E419" s="696" t="s">
        <v>49</v>
      </c>
      <c r="F419" s="595"/>
      <c r="G419" s="595"/>
      <c r="H419" s="596"/>
      <c r="I419" s="597"/>
      <c r="J419" s="597"/>
      <c r="K419" s="671">
        <v>0.5</v>
      </c>
      <c r="L419" s="658">
        <f>Bhn!$M$27</f>
        <v>40000</v>
      </c>
      <c r="M419" s="658">
        <f t="shared" si="26"/>
        <v>20000</v>
      </c>
      <c r="N419" s="661"/>
      <c r="O419" s="576"/>
      <c r="P419" s="576"/>
      <c r="X419" s="564"/>
      <c r="Z419" s="564"/>
      <c r="AA419" s="564"/>
      <c r="AB419" s="564"/>
      <c r="AD419" s="564"/>
      <c r="AE419" s="564"/>
    </row>
    <row r="420" spans="3:31" s="561" customFormat="1" ht="15" customHeight="1">
      <c r="C420" s="587"/>
      <c r="D420" s="587"/>
      <c r="E420" s="696" t="s">
        <v>50</v>
      </c>
      <c r="F420" s="595"/>
      <c r="G420" s="595"/>
      <c r="H420" s="596"/>
      <c r="I420" s="597"/>
      <c r="J420" s="597"/>
      <c r="K420" s="671">
        <v>0.05</v>
      </c>
      <c r="L420" s="658">
        <f>Bhn!$M$28</f>
        <v>45000</v>
      </c>
      <c r="M420" s="658">
        <f t="shared" si="26"/>
        <v>2250</v>
      </c>
      <c r="N420" s="661"/>
      <c r="O420" s="576"/>
      <c r="P420" s="576"/>
      <c r="X420" s="564"/>
      <c r="Z420" s="564"/>
      <c r="AA420" s="564"/>
      <c r="AB420" s="564"/>
      <c r="AD420" s="564"/>
      <c r="AE420" s="564"/>
    </row>
    <row r="421" spans="3:31" s="561" customFormat="1" ht="15" customHeight="1">
      <c r="C421" s="587"/>
      <c r="D421" s="587"/>
      <c r="E421" s="696" t="s">
        <v>43</v>
      </c>
      <c r="F421" s="595"/>
      <c r="G421" s="595"/>
      <c r="H421" s="596"/>
      <c r="I421" s="597"/>
      <c r="J421" s="597"/>
      <c r="K421" s="598">
        <v>0.15</v>
      </c>
      <c r="L421" s="658">
        <f>Bhn!$M$23</f>
        <v>30000</v>
      </c>
      <c r="M421" s="658">
        <f t="shared" si="26"/>
        <v>4500</v>
      </c>
      <c r="N421" s="661"/>
      <c r="O421" s="576"/>
      <c r="P421" s="576"/>
      <c r="X421" s="564"/>
      <c r="Z421" s="564"/>
      <c r="AA421" s="564"/>
      <c r="AB421" s="564"/>
      <c r="AD421" s="564"/>
      <c r="AE421" s="564"/>
    </row>
    <row r="422" spans="3:31" s="561" customFormat="1" ht="15" customHeight="1">
      <c r="C422" s="587"/>
      <c r="D422" s="587"/>
      <c r="E422" s="696" t="s">
        <v>46</v>
      </c>
      <c r="F422" s="595"/>
      <c r="G422" s="595"/>
      <c r="H422" s="596"/>
      <c r="I422" s="597"/>
      <c r="J422" s="597"/>
      <c r="K422" s="598">
        <v>0.0075</v>
      </c>
      <c r="L422" s="658">
        <f>Bhn!$M$24</f>
        <v>40000</v>
      </c>
      <c r="M422" s="658">
        <f t="shared" si="26"/>
        <v>300</v>
      </c>
      <c r="N422" s="670"/>
      <c r="O422" s="576"/>
      <c r="P422" s="576"/>
      <c r="X422" s="564"/>
      <c r="Z422" s="564"/>
      <c r="AA422" s="564"/>
      <c r="AB422" s="564"/>
      <c r="AD422" s="564"/>
      <c r="AE422" s="564"/>
    </row>
    <row r="423" spans="3:32" s="578" customFormat="1" ht="15" customHeight="1">
      <c r="C423" s="694">
        <f>+C416+1</f>
        <v>48</v>
      </c>
      <c r="D423" s="688"/>
      <c r="E423" s="687" t="s">
        <v>904</v>
      </c>
      <c r="F423" s="691"/>
      <c r="G423" s="689"/>
      <c r="H423" s="693"/>
      <c r="I423" s="654" t="s">
        <v>7</v>
      </c>
      <c r="J423" s="655" t="s">
        <v>116</v>
      </c>
      <c r="K423" s="661"/>
      <c r="L423" s="659"/>
      <c r="M423" s="659"/>
      <c r="N423" s="657">
        <f>SUM(M424:M430)</f>
        <v>18942.4</v>
      </c>
      <c r="O423" s="579"/>
      <c r="P423" s="579"/>
      <c r="Z423" s="580"/>
      <c r="AA423" s="580"/>
      <c r="AD423" s="580"/>
      <c r="AE423" s="580"/>
      <c r="AF423" s="580"/>
    </row>
    <row r="424" spans="3:32" s="561" customFormat="1" ht="15" customHeight="1">
      <c r="C424" s="587"/>
      <c r="D424" s="686"/>
      <c r="E424" s="588" t="s">
        <v>242</v>
      </c>
      <c r="F424" s="595"/>
      <c r="G424" s="590"/>
      <c r="H424" s="591"/>
      <c r="I424" s="592"/>
      <c r="J424" s="593" t="s">
        <v>148</v>
      </c>
      <c r="K424" s="598">
        <v>0.1</v>
      </c>
      <c r="L424" s="658">
        <f>Bhn!$M$137</f>
        <v>24910</v>
      </c>
      <c r="M424" s="658">
        <f aca="true" t="shared" si="27" ref="M424:M430">K424*L424</f>
        <v>2491</v>
      </c>
      <c r="N424" s="657"/>
      <c r="O424" s="576"/>
      <c r="P424" s="576"/>
      <c r="Z424" s="564"/>
      <c r="AA424" s="564"/>
      <c r="AD424" s="564"/>
      <c r="AE424" s="564"/>
      <c r="AF424" s="564"/>
    </row>
    <row r="425" spans="3:32" s="561" customFormat="1" ht="15" customHeight="1">
      <c r="C425" s="587"/>
      <c r="D425" s="686"/>
      <c r="E425" s="588" t="s">
        <v>904</v>
      </c>
      <c r="F425" s="595"/>
      <c r="G425" s="590"/>
      <c r="H425" s="591"/>
      <c r="I425" s="592"/>
      <c r="J425" s="593" t="s">
        <v>148</v>
      </c>
      <c r="K425" s="598">
        <v>0.36</v>
      </c>
      <c r="L425" s="658">
        <f>Bhn!M135</f>
        <v>35540</v>
      </c>
      <c r="M425" s="658">
        <f t="shared" si="27"/>
        <v>12794.4</v>
      </c>
      <c r="N425" s="657"/>
      <c r="O425" s="576"/>
      <c r="P425" s="576"/>
      <c r="Z425" s="564"/>
      <c r="AA425" s="564"/>
      <c r="AD425" s="564"/>
      <c r="AE425" s="564"/>
      <c r="AF425" s="564"/>
    </row>
    <row r="426" spans="3:32" s="561" customFormat="1" ht="15" customHeight="1">
      <c r="C426" s="587"/>
      <c r="D426" s="686"/>
      <c r="E426" s="588" t="s">
        <v>104</v>
      </c>
      <c r="F426" s="595"/>
      <c r="G426" s="590"/>
      <c r="H426" s="591"/>
      <c r="I426" s="592"/>
      <c r="J426" s="593" t="s">
        <v>155</v>
      </c>
      <c r="K426" s="598">
        <v>0.25</v>
      </c>
      <c r="L426" s="658">
        <f>Bhn!$M$138</f>
        <v>2000</v>
      </c>
      <c r="M426" s="658">
        <f t="shared" si="27"/>
        <v>500</v>
      </c>
      <c r="N426" s="657"/>
      <c r="O426" s="576"/>
      <c r="P426" s="576"/>
      <c r="Z426" s="564"/>
      <c r="AA426" s="564"/>
      <c r="AD426" s="564"/>
      <c r="AE426" s="564"/>
      <c r="AF426" s="564"/>
    </row>
    <row r="427" spans="3:32" s="561" customFormat="1" ht="15" customHeight="1">
      <c r="C427" s="587"/>
      <c r="D427" s="686"/>
      <c r="E427" s="588" t="s">
        <v>53</v>
      </c>
      <c r="F427" s="595"/>
      <c r="G427" s="590"/>
      <c r="H427" s="591"/>
      <c r="I427" s="592"/>
      <c r="J427" s="651"/>
      <c r="K427" s="598">
        <v>0.063</v>
      </c>
      <c r="L427" s="658">
        <f>Bhn!$M$31</f>
        <v>35000</v>
      </c>
      <c r="M427" s="658">
        <f t="shared" si="27"/>
        <v>2205</v>
      </c>
      <c r="N427" s="657"/>
      <c r="O427" s="576"/>
      <c r="P427" s="576"/>
      <c r="Z427" s="564"/>
      <c r="AA427" s="564"/>
      <c r="AD427" s="564"/>
      <c r="AE427" s="564"/>
      <c r="AF427" s="564"/>
    </row>
    <row r="428" spans="3:32" s="561" customFormat="1" ht="15" customHeight="1">
      <c r="C428" s="587"/>
      <c r="D428" s="686"/>
      <c r="E428" s="588" t="s">
        <v>54</v>
      </c>
      <c r="F428" s="595"/>
      <c r="G428" s="590"/>
      <c r="H428" s="591"/>
      <c r="I428" s="592"/>
      <c r="J428" s="651"/>
      <c r="K428" s="598">
        <v>0.0063</v>
      </c>
      <c r="L428" s="658">
        <f>Bhn!$M$32</f>
        <v>40000</v>
      </c>
      <c r="M428" s="658">
        <f t="shared" si="27"/>
        <v>252</v>
      </c>
      <c r="N428" s="657"/>
      <c r="O428" s="576"/>
      <c r="P428" s="576"/>
      <c r="Z428" s="564"/>
      <c r="AA428" s="564"/>
      <c r="AD428" s="564"/>
      <c r="AE428" s="564"/>
      <c r="AF428" s="564"/>
    </row>
    <row r="429" spans="3:32" s="561" customFormat="1" ht="15" customHeight="1">
      <c r="C429" s="587"/>
      <c r="D429" s="686"/>
      <c r="E429" s="588" t="s">
        <v>43</v>
      </c>
      <c r="F429" s="595"/>
      <c r="G429" s="590"/>
      <c r="H429" s="591"/>
      <c r="I429" s="592"/>
      <c r="J429" s="651"/>
      <c r="K429" s="598">
        <v>0.02</v>
      </c>
      <c r="L429" s="658">
        <f>Bhn!$M$23</f>
        <v>30000</v>
      </c>
      <c r="M429" s="658">
        <f t="shared" si="27"/>
        <v>600</v>
      </c>
      <c r="N429" s="657"/>
      <c r="O429" s="576"/>
      <c r="P429" s="576"/>
      <c r="Z429" s="564"/>
      <c r="AA429" s="564"/>
      <c r="AD429" s="564"/>
      <c r="AE429" s="564"/>
      <c r="AF429" s="564"/>
    </row>
    <row r="430" spans="3:32" s="561" customFormat="1" ht="15" customHeight="1">
      <c r="C430" s="587"/>
      <c r="D430" s="686"/>
      <c r="E430" s="588" t="s">
        <v>46</v>
      </c>
      <c r="F430" s="595"/>
      <c r="G430" s="590"/>
      <c r="H430" s="591"/>
      <c r="I430" s="592"/>
      <c r="J430" s="651"/>
      <c r="K430" s="598">
        <v>0.0025</v>
      </c>
      <c r="L430" s="658">
        <f>Bhn!$M$24</f>
        <v>40000</v>
      </c>
      <c r="M430" s="658">
        <f t="shared" si="27"/>
        <v>100</v>
      </c>
      <c r="N430" s="659"/>
      <c r="O430" s="576"/>
      <c r="P430" s="576"/>
      <c r="Z430" s="564"/>
      <c r="AA430" s="564"/>
      <c r="AD430" s="564"/>
      <c r="AE430" s="564"/>
      <c r="AF430" s="564"/>
    </row>
    <row r="431" spans="3:32" s="561" customFormat="1" ht="15" customHeight="1">
      <c r="C431" s="587"/>
      <c r="D431" s="686"/>
      <c r="E431" s="588"/>
      <c r="F431" s="595"/>
      <c r="G431" s="590"/>
      <c r="H431" s="591"/>
      <c r="I431" s="592"/>
      <c r="J431" s="651"/>
      <c r="K431" s="598"/>
      <c r="L431" s="658"/>
      <c r="M431" s="658"/>
      <c r="N431" s="659"/>
      <c r="O431" s="576"/>
      <c r="P431" s="576"/>
      <c r="Z431" s="564"/>
      <c r="AA431" s="564"/>
      <c r="AD431" s="564"/>
      <c r="AE431" s="564"/>
      <c r="AF431" s="564"/>
    </row>
    <row r="432" spans="3:32" s="578" customFormat="1" ht="15" customHeight="1">
      <c r="C432" s="694">
        <f>+C423+1</f>
        <v>49</v>
      </c>
      <c r="D432" s="688"/>
      <c r="E432" s="687" t="s">
        <v>241</v>
      </c>
      <c r="F432" s="691"/>
      <c r="G432" s="689"/>
      <c r="H432" s="693"/>
      <c r="I432" s="654" t="s">
        <v>7</v>
      </c>
      <c r="J432" s="655" t="s">
        <v>116</v>
      </c>
      <c r="K432" s="661"/>
      <c r="L432" s="659"/>
      <c r="M432" s="659"/>
      <c r="N432" s="657">
        <f>SUM(M433:M439)</f>
        <v>25613.2</v>
      </c>
      <c r="O432" s="579"/>
      <c r="P432" s="579"/>
      <c r="Z432" s="580"/>
      <c r="AA432" s="580"/>
      <c r="AD432" s="580"/>
      <c r="AE432" s="580"/>
      <c r="AF432" s="580"/>
    </row>
    <row r="433" spans="3:32" s="561" customFormat="1" ht="15" customHeight="1">
      <c r="C433" s="587"/>
      <c r="D433" s="686"/>
      <c r="E433" s="588" t="s">
        <v>242</v>
      </c>
      <c r="F433" s="595"/>
      <c r="G433" s="590"/>
      <c r="H433" s="591"/>
      <c r="I433" s="592"/>
      <c r="J433" s="593" t="s">
        <v>148</v>
      </c>
      <c r="K433" s="598">
        <v>0.1</v>
      </c>
      <c r="L433" s="658">
        <f>Bhn!$M$137</f>
        <v>24910</v>
      </c>
      <c r="M433" s="658">
        <f t="shared" si="26"/>
        <v>2491</v>
      </c>
      <c r="N433" s="657"/>
      <c r="O433" s="576"/>
      <c r="P433" s="576"/>
      <c r="Z433" s="564"/>
      <c r="AA433" s="564"/>
      <c r="AD433" s="564"/>
      <c r="AE433" s="564"/>
      <c r="AF433" s="564"/>
    </row>
    <row r="434" spans="3:32" s="561" customFormat="1" ht="15" customHeight="1">
      <c r="C434" s="587"/>
      <c r="D434" s="686"/>
      <c r="E434" s="588" t="s">
        <v>241</v>
      </c>
      <c r="F434" s="595"/>
      <c r="G434" s="590"/>
      <c r="H434" s="591"/>
      <c r="I434" s="592"/>
      <c r="J434" s="593" t="s">
        <v>148</v>
      </c>
      <c r="K434" s="598">
        <v>0.36</v>
      </c>
      <c r="L434" s="658">
        <f>Bhn!M134</f>
        <v>54070</v>
      </c>
      <c r="M434" s="658">
        <f t="shared" si="26"/>
        <v>19465.2</v>
      </c>
      <c r="N434" s="657"/>
      <c r="O434" s="576"/>
      <c r="P434" s="576"/>
      <c r="Z434" s="564"/>
      <c r="AA434" s="564"/>
      <c r="AD434" s="564"/>
      <c r="AE434" s="564"/>
      <c r="AF434" s="564"/>
    </row>
    <row r="435" spans="3:32" s="561" customFormat="1" ht="15" customHeight="1">
      <c r="C435" s="587"/>
      <c r="D435" s="686"/>
      <c r="E435" s="588" t="s">
        <v>104</v>
      </c>
      <c r="F435" s="595"/>
      <c r="G435" s="590"/>
      <c r="H435" s="591"/>
      <c r="I435" s="592"/>
      <c r="J435" s="593" t="s">
        <v>155</v>
      </c>
      <c r="K435" s="598">
        <v>0.25</v>
      </c>
      <c r="L435" s="658">
        <f>Bhn!$M$138</f>
        <v>2000</v>
      </c>
      <c r="M435" s="658">
        <f t="shared" si="26"/>
        <v>500</v>
      </c>
      <c r="N435" s="657"/>
      <c r="O435" s="576"/>
      <c r="P435" s="576"/>
      <c r="Z435" s="564"/>
      <c r="AA435" s="564"/>
      <c r="AD435" s="564"/>
      <c r="AE435" s="564"/>
      <c r="AF435" s="564"/>
    </row>
    <row r="436" spans="3:32" s="561" customFormat="1" ht="15" customHeight="1">
      <c r="C436" s="587"/>
      <c r="D436" s="686"/>
      <c r="E436" s="588" t="s">
        <v>53</v>
      </c>
      <c r="F436" s="595"/>
      <c r="G436" s="590"/>
      <c r="H436" s="591"/>
      <c r="I436" s="592"/>
      <c r="J436" s="651"/>
      <c r="K436" s="598">
        <v>0.063</v>
      </c>
      <c r="L436" s="658">
        <f>Bhn!$M$31</f>
        <v>35000</v>
      </c>
      <c r="M436" s="658">
        <f t="shared" si="26"/>
        <v>2205</v>
      </c>
      <c r="N436" s="657"/>
      <c r="O436" s="576"/>
      <c r="P436" s="576"/>
      <c r="Z436" s="564"/>
      <c r="AA436" s="564"/>
      <c r="AD436" s="564"/>
      <c r="AE436" s="564"/>
      <c r="AF436" s="564"/>
    </row>
    <row r="437" spans="3:32" s="561" customFormat="1" ht="15" customHeight="1">
      <c r="C437" s="587"/>
      <c r="D437" s="686"/>
      <c r="E437" s="588" t="s">
        <v>54</v>
      </c>
      <c r="F437" s="595"/>
      <c r="G437" s="590"/>
      <c r="H437" s="591"/>
      <c r="I437" s="592"/>
      <c r="J437" s="651"/>
      <c r="K437" s="598">
        <v>0.0063</v>
      </c>
      <c r="L437" s="658">
        <f>Bhn!$M$32</f>
        <v>40000</v>
      </c>
      <c r="M437" s="658">
        <f t="shared" si="26"/>
        <v>252</v>
      </c>
      <c r="N437" s="657"/>
      <c r="O437" s="576"/>
      <c r="P437" s="576"/>
      <c r="Z437" s="564"/>
      <c r="AA437" s="564"/>
      <c r="AD437" s="564"/>
      <c r="AE437" s="564"/>
      <c r="AF437" s="564"/>
    </row>
    <row r="438" spans="3:32" s="561" customFormat="1" ht="15" customHeight="1">
      <c r="C438" s="587"/>
      <c r="D438" s="686"/>
      <c r="E438" s="588" t="s">
        <v>43</v>
      </c>
      <c r="F438" s="595"/>
      <c r="G438" s="590"/>
      <c r="H438" s="591"/>
      <c r="I438" s="592"/>
      <c r="J438" s="651"/>
      <c r="K438" s="598">
        <v>0.02</v>
      </c>
      <c r="L438" s="658">
        <f>Bhn!$M$23</f>
        <v>30000</v>
      </c>
      <c r="M438" s="658">
        <f t="shared" si="26"/>
        <v>600</v>
      </c>
      <c r="N438" s="657"/>
      <c r="O438" s="576"/>
      <c r="P438" s="576"/>
      <c r="Z438" s="564"/>
      <c r="AA438" s="564"/>
      <c r="AD438" s="564"/>
      <c r="AE438" s="564"/>
      <c r="AF438" s="564"/>
    </row>
    <row r="439" spans="3:32" s="561" customFormat="1" ht="15" customHeight="1">
      <c r="C439" s="587"/>
      <c r="D439" s="686"/>
      <c r="E439" s="588" t="s">
        <v>46</v>
      </c>
      <c r="F439" s="595"/>
      <c r="G439" s="590"/>
      <c r="H439" s="591"/>
      <c r="I439" s="592"/>
      <c r="J439" s="651"/>
      <c r="K439" s="598">
        <v>0.0025</v>
      </c>
      <c r="L439" s="658">
        <f>Bhn!$M$24</f>
        <v>40000</v>
      </c>
      <c r="M439" s="658">
        <f t="shared" si="26"/>
        <v>100</v>
      </c>
      <c r="N439" s="659"/>
      <c r="O439" s="576"/>
      <c r="P439" s="576"/>
      <c r="Z439" s="564"/>
      <c r="AA439" s="564"/>
      <c r="AD439" s="564"/>
      <c r="AE439" s="564"/>
      <c r="AF439" s="564"/>
    </row>
    <row r="440" spans="3:32" s="561" customFormat="1" ht="15" customHeight="1">
      <c r="C440" s="587"/>
      <c r="D440" s="686"/>
      <c r="E440" s="588"/>
      <c r="F440" s="595"/>
      <c r="G440" s="590"/>
      <c r="H440" s="591"/>
      <c r="I440" s="592"/>
      <c r="J440" s="651"/>
      <c r="K440" s="598"/>
      <c r="L440" s="658"/>
      <c r="M440" s="658"/>
      <c r="N440" s="659"/>
      <c r="O440" s="576"/>
      <c r="P440" s="576"/>
      <c r="Z440" s="564"/>
      <c r="AA440" s="564"/>
      <c r="AD440" s="564"/>
      <c r="AE440" s="564"/>
      <c r="AF440" s="564"/>
    </row>
    <row r="441" spans="3:32" s="578" customFormat="1" ht="15" customHeight="1">
      <c r="C441" s="694">
        <f>+C432+1</f>
        <v>50</v>
      </c>
      <c r="D441" s="688"/>
      <c r="E441" s="687" t="s">
        <v>35</v>
      </c>
      <c r="F441" s="691"/>
      <c r="G441" s="689"/>
      <c r="H441" s="693"/>
      <c r="I441" s="654" t="s">
        <v>7</v>
      </c>
      <c r="J441" s="655" t="s">
        <v>116</v>
      </c>
      <c r="K441" s="661"/>
      <c r="L441" s="659"/>
      <c r="M441" s="659"/>
      <c r="N441" s="657">
        <f>SUM(M442:M448)</f>
        <v>8967.4</v>
      </c>
      <c r="O441" s="579"/>
      <c r="P441" s="579"/>
      <c r="Z441" s="580"/>
      <c r="AA441" s="580"/>
      <c r="AD441" s="580"/>
      <c r="AE441" s="580"/>
      <c r="AF441" s="580"/>
    </row>
    <row r="442" spans="3:32" s="561" customFormat="1" ht="15" customHeight="1">
      <c r="C442" s="587"/>
      <c r="D442" s="686"/>
      <c r="E442" s="588" t="s">
        <v>101</v>
      </c>
      <c r="F442" s="595"/>
      <c r="G442" s="590"/>
      <c r="H442" s="591"/>
      <c r="I442" s="592"/>
      <c r="J442" s="593" t="s">
        <v>148</v>
      </c>
      <c r="K442" s="598">
        <v>0.1</v>
      </c>
      <c r="L442" s="658">
        <f>Bhn!$M$122</f>
        <v>8500</v>
      </c>
      <c r="M442" s="658">
        <f aca="true" t="shared" si="28" ref="M442:M479">K442*L442</f>
        <v>850</v>
      </c>
      <c r="N442" s="657"/>
      <c r="O442" s="576"/>
      <c r="P442" s="576"/>
      <c r="Z442" s="564"/>
      <c r="AA442" s="564"/>
      <c r="AD442" s="564"/>
      <c r="AE442" s="564"/>
      <c r="AF442" s="564"/>
    </row>
    <row r="443" spans="3:32" s="561" customFormat="1" ht="15" customHeight="1">
      <c r="C443" s="587"/>
      <c r="D443" s="686"/>
      <c r="E443" s="588" t="s">
        <v>35</v>
      </c>
      <c r="F443" s="595"/>
      <c r="G443" s="590"/>
      <c r="H443" s="591"/>
      <c r="I443" s="592"/>
      <c r="J443" s="593" t="s">
        <v>148</v>
      </c>
      <c r="K443" s="598">
        <v>0.36</v>
      </c>
      <c r="L443" s="658">
        <f>Bhn!M136</f>
        <v>12390</v>
      </c>
      <c r="M443" s="658">
        <f t="shared" si="28"/>
        <v>4460.4</v>
      </c>
      <c r="N443" s="657"/>
      <c r="O443" s="576"/>
      <c r="P443" s="576"/>
      <c r="Z443" s="564"/>
      <c r="AA443" s="564"/>
      <c r="AD443" s="564"/>
      <c r="AE443" s="564"/>
      <c r="AF443" s="564"/>
    </row>
    <row r="444" spans="3:32" s="561" customFormat="1" ht="15" customHeight="1">
      <c r="C444" s="587"/>
      <c r="D444" s="686"/>
      <c r="E444" s="588" t="s">
        <v>104</v>
      </c>
      <c r="F444" s="595"/>
      <c r="G444" s="590"/>
      <c r="H444" s="591"/>
      <c r="I444" s="592"/>
      <c r="J444" s="593" t="s">
        <v>155</v>
      </c>
      <c r="K444" s="598">
        <v>0.25</v>
      </c>
      <c r="L444" s="658">
        <f>Bhn!$M$138</f>
        <v>2000</v>
      </c>
      <c r="M444" s="658">
        <f t="shared" si="28"/>
        <v>500</v>
      </c>
      <c r="N444" s="657"/>
      <c r="O444" s="576"/>
      <c r="P444" s="576"/>
      <c r="Z444" s="564"/>
      <c r="AA444" s="564"/>
      <c r="AD444" s="564"/>
      <c r="AE444" s="564"/>
      <c r="AF444" s="564"/>
    </row>
    <row r="445" spans="3:32" s="561" customFormat="1" ht="15" customHeight="1">
      <c r="C445" s="587"/>
      <c r="D445" s="686"/>
      <c r="E445" s="588" t="s">
        <v>53</v>
      </c>
      <c r="F445" s="595"/>
      <c r="G445" s="590"/>
      <c r="H445" s="591"/>
      <c r="I445" s="592"/>
      <c r="J445" s="651"/>
      <c r="K445" s="598">
        <v>0.063</v>
      </c>
      <c r="L445" s="658">
        <f>Bhn!$M$31</f>
        <v>35000</v>
      </c>
      <c r="M445" s="658">
        <f t="shared" si="28"/>
        <v>2205</v>
      </c>
      <c r="N445" s="657"/>
      <c r="O445" s="576"/>
      <c r="P445" s="576"/>
      <c r="Z445" s="564"/>
      <c r="AA445" s="564"/>
      <c r="AD445" s="564"/>
      <c r="AE445" s="564"/>
      <c r="AF445" s="564"/>
    </row>
    <row r="446" spans="3:32" s="561" customFormat="1" ht="15" customHeight="1">
      <c r="C446" s="587"/>
      <c r="D446" s="686"/>
      <c r="E446" s="588" t="s">
        <v>54</v>
      </c>
      <c r="F446" s="595"/>
      <c r="G446" s="590"/>
      <c r="H446" s="591"/>
      <c r="I446" s="592"/>
      <c r="J446" s="651"/>
      <c r="K446" s="668">
        <v>0.0063</v>
      </c>
      <c r="L446" s="658">
        <f>Bhn!$M$32</f>
        <v>40000</v>
      </c>
      <c r="M446" s="658">
        <f t="shared" si="28"/>
        <v>252</v>
      </c>
      <c r="N446" s="657"/>
      <c r="O446" s="576"/>
      <c r="P446" s="576"/>
      <c r="Z446" s="564"/>
      <c r="AA446" s="564"/>
      <c r="AD446" s="564"/>
      <c r="AE446" s="564"/>
      <c r="AF446" s="564"/>
    </row>
    <row r="447" spans="3:32" s="561" customFormat="1" ht="15" customHeight="1">
      <c r="C447" s="587"/>
      <c r="D447" s="686"/>
      <c r="E447" s="588" t="s">
        <v>43</v>
      </c>
      <c r="F447" s="595"/>
      <c r="G447" s="590"/>
      <c r="H447" s="591"/>
      <c r="I447" s="592"/>
      <c r="J447" s="651"/>
      <c r="K447" s="598">
        <v>0.02</v>
      </c>
      <c r="L447" s="658">
        <f>Bhn!$M$23</f>
        <v>30000</v>
      </c>
      <c r="M447" s="658">
        <f t="shared" si="28"/>
        <v>600</v>
      </c>
      <c r="N447" s="657"/>
      <c r="O447" s="576"/>
      <c r="P447" s="576"/>
      <c r="Z447" s="564"/>
      <c r="AA447" s="564"/>
      <c r="AD447" s="564"/>
      <c r="AE447" s="564"/>
      <c r="AF447" s="564"/>
    </row>
    <row r="448" spans="3:32" s="561" customFormat="1" ht="15" customHeight="1">
      <c r="C448" s="587"/>
      <c r="D448" s="686"/>
      <c r="E448" s="588" t="s">
        <v>46</v>
      </c>
      <c r="F448" s="595"/>
      <c r="G448" s="590"/>
      <c r="H448" s="591"/>
      <c r="I448" s="592"/>
      <c r="J448" s="651"/>
      <c r="K448" s="668">
        <v>0.0025</v>
      </c>
      <c r="L448" s="658">
        <f>Bhn!$M$24</f>
        <v>40000</v>
      </c>
      <c r="M448" s="658">
        <f t="shared" si="28"/>
        <v>100</v>
      </c>
      <c r="N448" s="659"/>
      <c r="O448" s="576"/>
      <c r="P448" s="576"/>
      <c r="Z448" s="564"/>
      <c r="AA448" s="564"/>
      <c r="AD448" s="564"/>
      <c r="AE448" s="564"/>
      <c r="AF448" s="564"/>
    </row>
    <row r="449" spans="3:32" s="561" customFormat="1" ht="15" customHeight="1">
      <c r="C449" s="587"/>
      <c r="D449" s="686"/>
      <c r="E449" s="588"/>
      <c r="F449" s="595"/>
      <c r="G449" s="590"/>
      <c r="H449" s="591"/>
      <c r="I449" s="592"/>
      <c r="J449" s="651"/>
      <c r="K449" s="668"/>
      <c r="L449" s="658"/>
      <c r="M449" s="658"/>
      <c r="N449" s="659"/>
      <c r="O449" s="576"/>
      <c r="P449" s="576"/>
      <c r="Z449" s="564"/>
      <c r="AA449" s="564"/>
      <c r="AD449" s="564"/>
      <c r="AE449" s="564"/>
      <c r="AF449" s="564"/>
    </row>
    <row r="450" spans="3:32" s="578" customFormat="1" ht="15" customHeight="1">
      <c r="C450" s="694">
        <f>C441+1</f>
        <v>51</v>
      </c>
      <c r="D450" s="688"/>
      <c r="E450" s="687" t="s">
        <v>126</v>
      </c>
      <c r="F450" s="691"/>
      <c r="G450" s="689"/>
      <c r="H450" s="693"/>
      <c r="I450" s="654" t="s">
        <v>7</v>
      </c>
      <c r="J450" s="655" t="s">
        <v>116</v>
      </c>
      <c r="K450" s="661"/>
      <c r="L450" s="659"/>
      <c r="M450" s="659"/>
      <c r="N450" s="657">
        <f>SUM(M451:M458)</f>
        <v>28755</v>
      </c>
      <c r="O450" s="560"/>
      <c r="P450" s="560"/>
      <c r="Z450" s="580"/>
      <c r="AA450" s="580"/>
      <c r="AB450" s="580"/>
      <c r="AD450" s="580"/>
      <c r="AE450" s="580"/>
      <c r="AF450" s="580"/>
    </row>
    <row r="451" spans="3:32" s="561" customFormat="1" ht="15" customHeight="1">
      <c r="C451" s="587"/>
      <c r="D451" s="686"/>
      <c r="E451" s="588" t="s">
        <v>100</v>
      </c>
      <c r="F451" s="595"/>
      <c r="G451" s="590"/>
      <c r="H451" s="591"/>
      <c r="I451" s="592"/>
      <c r="J451" s="593" t="s">
        <v>148</v>
      </c>
      <c r="K451" s="598">
        <v>0.15</v>
      </c>
      <c r="L451" s="658">
        <f>Bhn!$M$121</f>
        <v>10000</v>
      </c>
      <c r="M451" s="658">
        <f t="shared" si="28"/>
        <v>1500</v>
      </c>
      <c r="N451" s="657"/>
      <c r="O451" s="559"/>
      <c r="P451" s="559"/>
      <c r="X451" s="564"/>
      <c r="Z451" s="564"/>
      <c r="AA451" s="564"/>
      <c r="AB451" s="564"/>
      <c r="AD451" s="564"/>
      <c r="AE451" s="564"/>
      <c r="AF451" s="564"/>
    </row>
    <row r="452" spans="3:32" s="561" customFormat="1" ht="15" customHeight="1">
      <c r="C452" s="587"/>
      <c r="D452" s="686"/>
      <c r="E452" s="588" t="s">
        <v>191</v>
      </c>
      <c r="F452" s="595"/>
      <c r="G452" s="590"/>
      <c r="H452" s="591"/>
      <c r="I452" s="592"/>
      <c r="J452" s="593" t="s">
        <v>148</v>
      </c>
      <c r="K452" s="598">
        <v>0.42</v>
      </c>
      <c r="L452" s="658">
        <f>Bhn!$M$133</f>
        <v>50000</v>
      </c>
      <c r="M452" s="658">
        <f t="shared" si="28"/>
        <v>21000</v>
      </c>
      <c r="N452" s="657"/>
      <c r="O452" s="559"/>
      <c r="P452" s="559"/>
      <c r="X452" s="564"/>
      <c r="Z452" s="564"/>
      <c r="AA452" s="564"/>
      <c r="AB452" s="564"/>
      <c r="AD452" s="564"/>
      <c r="AE452" s="564"/>
      <c r="AF452" s="564"/>
    </row>
    <row r="453" spans="3:32" s="561" customFormat="1" ht="15" customHeight="1">
      <c r="C453" s="587"/>
      <c r="D453" s="686"/>
      <c r="E453" s="588" t="s">
        <v>102</v>
      </c>
      <c r="F453" s="595"/>
      <c r="G453" s="590"/>
      <c r="H453" s="591"/>
      <c r="I453" s="592"/>
      <c r="J453" s="593" t="s">
        <v>148</v>
      </c>
      <c r="K453" s="598">
        <v>0.2</v>
      </c>
      <c r="L453" s="658">
        <f>Bhn!$M$128</f>
        <v>12500</v>
      </c>
      <c r="M453" s="658">
        <f t="shared" si="28"/>
        <v>2500</v>
      </c>
      <c r="N453" s="657"/>
      <c r="O453" s="559"/>
      <c r="P453" s="559"/>
      <c r="V453" s="564"/>
      <c r="X453" s="564"/>
      <c r="Z453" s="564"/>
      <c r="AA453" s="564"/>
      <c r="AD453" s="564"/>
      <c r="AE453" s="564"/>
      <c r="AF453" s="564"/>
    </row>
    <row r="454" spans="3:32" s="561" customFormat="1" ht="15" customHeight="1">
      <c r="C454" s="587"/>
      <c r="D454" s="686"/>
      <c r="E454" s="588" t="s">
        <v>104</v>
      </c>
      <c r="F454" s="595"/>
      <c r="G454" s="590"/>
      <c r="H454" s="591"/>
      <c r="I454" s="592"/>
      <c r="J454" s="593" t="s">
        <v>155</v>
      </c>
      <c r="K454" s="598">
        <v>0.5</v>
      </c>
      <c r="L454" s="658">
        <f>Bhn!$M$138</f>
        <v>2000</v>
      </c>
      <c r="M454" s="658">
        <f t="shared" si="28"/>
        <v>1000</v>
      </c>
      <c r="N454" s="657"/>
      <c r="O454" s="559"/>
      <c r="P454" s="559"/>
      <c r="V454" s="564"/>
      <c r="X454" s="564"/>
      <c r="Z454" s="564"/>
      <c r="AA454" s="564"/>
      <c r="AD454" s="564"/>
      <c r="AE454" s="564"/>
      <c r="AF454" s="564"/>
    </row>
    <row r="455" spans="3:31" s="561" customFormat="1" ht="15" customHeight="1">
      <c r="C455" s="587"/>
      <c r="D455" s="686"/>
      <c r="E455" s="588" t="s">
        <v>53</v>
      </c>
      <c r="F455" s="595"/>
      <c r="G455" s="590"/>
      <c r="H455" s="591"/>
      <c r="I455" s="592"/>
      <c r="J455" s="651"/>
      <c r="K455" s="598">
        <v>0.009</v>
      </c>
      <c r="L455" s="658">
        <f>Bhn!$M$31</f>
        <v>35000</v>
      </c>
      <c r="M455" s="658">
        <f t="shared" si="28"/>
        <v>315</v>
      </c>
      <c r="N455" s="657"/>
      <c r="O455" s="559"/>
      <c r="P455" s="559"/>
      <c r="X455" s="564"/>
      <c r="Z455" s="564"/>
      <c r="AA455" s="564"/>
      <c r="AB455" s="564"/>
      <c r="AD455" s="564"/>
      <c r="AE455" s="564"/>
    </row>
    <row r="456" spans="3:31" s="561" customFormat="1" ht="15" customHeight="1">
      <c r="C456" s="587"/>
      <c r="D456" s="686"/>
      <c r="E456" s="588" t="s">
        <v>54</v>
      </c>
      <c r="F456" s="595"/>
      <c r="G456" s="590"/>
      <c r="H456" s="591"/>
      <c r="I456" s="592"/>
      <c r="J456" s="651"/>
      <c r="K456" s="598">
        <v>0.006</v>
      </c>
      <c r="L456" s="658">
        <f>Bhn!$M$32</f>
        <v>40000</v>
      </c>
      <c r="M456" s="658">
        <f t="shared" si="28"/>
        <v>240</v>
      </c>
      <c r="N456" s="657"/>
      <c r="O456" s="559"/>
      <c r="P456" s="559"/>
      <c r="X456" s="564"/>
      <c r="Z456" s="564"/>
      <c r="AA456" s="564"/>
      <c r="AB456" s="564"/>
      <c r="AD456" s="564"/>
      <c r="AE456" s="564"/>
    </row>
    <row r="457" spans="3:31" s="561" customFormat="1" ht="15" customHeight="1">
      <c r="C457" s="587"/>
      <c r="D457" s="686"/>
      <c r="E457" s="588" t="s">
        <v>43</v>
      </c>
      <c r="F457" s="595"/>
      <c r="G457" s="590"/>
      <c r="H457" s="591"/>
      <c r="I457" s="592"/>
      <c r="J457" s="651"/>
      <c r="K457" s="598">
        <v>0.07</v>
      </c>
      <c r="L457" s="658">
        <f>Bhn!$M$23</f>
        <v>30000</v>
      </c>
      <c r="M457" s="658">
        <f t="shared" si="28"/>
        <v>2100</v>
      </c>
      <c r="N457" s="657"/>
      <c r="O457" s="559"/>
      <c r="P457" s="559"/>
      <c r="X457" s="564"/>
      <c r="AD457" s="564"/>
      <c r="AE457" s="564"/>
    </row>
    <row r="458" spans="3:31" s="561" customFormat="1" ht="15" customHeight="1">
      <c r="C458" s="587"/>
      <c r="D458" s="686"/>
      <c r="E458" s="588" t="s">
        <v>46</v>
      </c>
      <c r="F458" s="595"/>
      <c r="G458" s="590"/>
      <c r="H458" s="591"/>
      <c r="I458" s="592"/>
      <c r="J458" s="651"/>
      <c r="K458" s="598">
        <v>0.0025</v>
      </c>
      <c r="L458" s="658">
        <f>Bhn!$M$24</f>
        <v>40000</v>
      </c>
      <c r="M458" s="658">
        <f t="shared" si="28"/>
        <v>100</v>
      </c>
      <c r="N458" s="659"/>
      <c r="O458" s="576"/>
      <c r="P458" s="576"/>
      <c r="Z458" s="564"/>
      <c r="AA458" s="564"/>
      <c r="AD458" s="564"/>
      <c r="AE458" s="564"/>
    </row>
    <row r="459" spans="3:31" s="561" customFormat="1" ht="15" customHeight="1">
      <c r="C459" s="587"/>
      <c r="D459" s="686"/>
      <c r="E459" s="588"/>
      <c r="F459" s="595"/>
      <c r="G459" s="590"/>
      <c r="H459" s="591"/>
      <c r="I459" s="592"/>
      <c r="J459" s="651"/>
      <c r="K459" s="598"/>
      <c r="L459" s="658"/>
      <c r="M459" s="658"/>
      <c r="N459" s="659"/>
      <c r="O459" s="576"/>
      <c r="P459" s="576"/>
      <c r="Z459" s="564"/>
      <c r="AA459" s="564"/>
      <c r="AD459" s="564"/>
      <c r="AE459" s="564"/>
    </row>
    <row r="460" spans="3:31" s="578" customFormat="1" ht="15" customHeight="1">
      <c r="C460" s="694">
        <f>C450+1</f>
        <v>52</v>
      </c>
      <c r="D460" s="688"/>
      <c r="E460" s="687" t="s">
        <v>131</v>
      </c>
      <c r="F460" s="691"/>
      <c r="G460" s="689"/>
      <c r="H460" s="693"/>
      <c r="I460" s="654" t="s">
        <v>7</v>
      </c>
      <c r="J460" s="655" t="s">
        <v>116</v>
      </c>
      <c r="K460" s="661"/>
      <c r="L460" s="659"/>
      <c r="M460" s="659"/>
      <c r="N460" s="657">
        <f>SUM(M461:M465)</f>
        <v>7617.4</v>
      </c>
      <c r="O460" s="579"/>
      <c r="P460" s="579"/>
      <c r="Z460" s="580"/>
      <c r="AA460" s="580"/>
      <c r="AD460" s="580"/>
      <c r="AE460" s="580"/>
    </row>
    <row r="461" spans="3:31" s="561" customFormat="1" ht="15" customHeight="1">
      <c r="C461" s="587"/>
      <c r="D461" s="686"/>
      <c r="E461" s="588" t="s">
        <v>35</v>
      </c>
      <c r="F461" s="595"/>
      <c r="G461" s="590"/>
      <c r="H461" s="591"/>
      <c r="I461" s="592"/>
      <c r="J461" s="593" t="s">
        <v>148</v>
      </c>
      <c r="K461" s="598">
        <v>0.36</v>
      </c>
      <c r="L461" s="658">
        <f>Bhn!$M$136</f>
        <v>12390</v>
      </c>
      <c r="M461" s="658">
        <f t="shared" si="28"/>
        <v>4460.4</v>
      </c>
      <c r="N461" s="657"/>
      <c r="O461" s="576"/>
      <c r="P461" s="576"/>
      <c r="Z461" s="564"/>
      <c r="AA461" s="564"/>
      <c r="AD461" s="564"/>
      <c r="AE461" s="564"/>
    </row>
    <row r="462" spans="3:31" s="561" customFormat="1" ht="15" customHeight="1">
      <c r="C462" s="587"/>
      <c r="D462" s="686"/>
      <c r="E462" s="588" t="s">
        <v>53</v>
      </c>
      <c r="F462" s="595"/>
      <c r="G462" s="590"/>
      <c r="H462" s="591"/>
      <c r="I462" s="592"/>
      <c r="J462" s="651"/>
      <c r="K462" s="598">
        <v>0.063</v>
      </c>
      <c r="L462" s="658">
        <f>Bhn!$M$31</f>
        <v>35000</v>
      </c>
      <c r="M462" s="658">
        <f t="shared" si="28"/>
        <v>2205</v>
      </c>
      <c r="N462" s="657"/>
      <c r="O462" s="576"/>
      <c r="P462" s="576"/>
      <c r="Z462" s="564"/>
      <c r="AA462" s="564"/>
      <c r="AD462" s="564"/>
      <c r="AE462" s="564"/>
    </row>
    <row r="463" spans="3:31" s="561" customFormat="1" ht="15" customHeight="1">
      <c r="C463" s="587"/>
      <c r="D463" s="686"/>
      <c r="E463" s="588" t="s">
        <v>54</v>
      </c>
      <c r="F463" s="595"/>
      <c r="G463" s="590"/>
      <c r="H463" s="591"/>
      <c r="I463" s="592"/>
      <c r="J463" s="651"/>
      <c r="K463" s="598">
        <v>0.0063</v>
      </c>
      <c r="L463" s="658">
        <f>Bhn!$M$32</f>
        <v>40000</v>
      </c>
      <c r="M463" s="658">
        <f t="shared" si="28"/>
        <v>252</v>
      </c>
      <c r="N463" s="657"/>
      <c r="O463" s="576"/>
      <c r="P463" s="576"/>
      <c r="Z463" s="564"/>
      <c r="AA463" s="564"/>
      <c r="AD463" s="564"/>
      <c r="AE463" s="564"/>
    </row>
    <row r="464" spans="3:31" s="561" customFormat="1" ht="15" customHeight="1">
      <c r="C464" s="587"/>
      <c r="D464" s="686"/>
      <c r="E464" s="588" t="s">
        <v>43</v>
      </c>
      <c r="F464" s="595"/>
      <c r="G464" s="590"/>
      <c r="H464" s="591"/>
      <c r="I464" s="592"/>
      <c r="J464" s="651"/>
      <c r="K464" s="598">
        <v>0.02</v>
      </c>
      <c r="L464" s="658">
        <f>Bhn!$M$23</f>
        <v>30000</v>
      </c>
      <c r="M464" s="658">
        <f t="shared" si="28"/>
        <v>600</v>
      </c>
      <c r="N464" s="657"/>
      <c r="O464" s="576"/>
      <c r="P464" s="576"/>
      <c r="Z464" s="564"/>
      <c r="AA464" s="564"/>
      <c r="AD464" s="564"/>
      <c r="AE464" s="564"/>
    </row>
    <row r="465" spans="3:31" s="561" customFormat="1" ht="15" customHeight="1">
      <c r="C465" s="587"/>
      <c r="D465" s="686"/>
      <c r="E465" s="588" t="s">
        <v>46</v>
      </c>
      <c r="F465" s="595"/>
      <c r="G465" s="590"/>
      <c r="H465" s="591"/>
      <c r="I465" s="592"/>
      <c r="J465" s="651"/>
      <c r="K465" s="598">
        <v>0.0025</v>
      </c>
      <c r="L465" s="658">
        <f>Bhn!$M$24</f>
        <v>40000</v>
      </c>
      <c r="M465" s="658">
        <f t="shared" si="28"/>
        <v>100</v>
      </c>
      <c r="N465" s="659"/>
      <c r="O465" s="576"/>
      <c r="P465" s="576"/>
      <c r="Z465" s="564"/>
      <c r="AA465" s="564"/>
      <c r="AD465" s="564"/>
      <c r="AE465" s="564"/>
    </row>
    <row r="466" spans="3:31" s="561" customFormat="1" ht="15" customHeight="1">
      <c r="C466" s="587"/>
      <c r="D466" s="686"/>
      <c r="E466" s="588"/>
      <c r="F466" s="595"/>
      <c r="G466" s="590"/>
      <c r="H466" s="591"/>
      <c r="I466" s="592"/>
      <c r="J466" s="651"/>
      <c r="K466" s="598"/>
      <c r="L466" s="658"/>
      <c r="M466" s="658"/>
      <c r="N466" s="659"/>
      <c r="O466" s="576"/>
      <c r="P466" s="576"/>
      <c r="Z466" s="564"/>
      <c r="AA466" s="564"/>
      <c r="AD466" s="564"/>
      <c r="AE466" s="564"/>
    </row>
    <row r="467" spans="3:31" s="578" customFormat="1" ht="15" customHeight="1">
      <c r="C467" s="694">
        <f>C460+1</f>
        <v>53</v>
      </c>
      <c r="D467" s="688"/>
      <c r="E467" s="687" t="s">
        <v>1</v>
      </c>
      <c r="F467" s="691"/>
      <c r="G467" s="689"/>
      <c r="H467" s="693"/>
      <c r="I467" s="654" t="s">
        <v>195</v>
      </c>
      <c r="J467" s="662" t="s">
        <v>116</v>
      </c>
      <c r="K467" s="661"/>
      <c r="L467" s="659"/>
      <c r="M467" s="659"/>
      <c r="N467" s="659">
        <f>SUM(M468:M481)</f>
        <v>42498</v>
      </c>
      <c r="O467" s="579"/>
      <c r="P467" s="579"/>
      <c r="Z467" s="580"/>
      <c r="AA467" s="580"/>
      <c r="AD467" s="580"/>
      <c r="AE467" s="580"/>
    </row>
    <row r="468" spans="3:31" s="561" customFormat="1" ht="15" customHeight="1">
      <c r="C468" s="587"/>
      <c r="D468" s="686"/>
      <c r="E468" s="588" t="s">
        <v>207</v>
      </c>
      <c r="F468" s="595"/>
      <c r="G468" s="590"/>
      <c r="H468" s="591"/>
      <c r="I468" s="592"/>
      <c r="J468" s="592" t="s">
        <v>148</v>
      </c>
      <c r="K468" s="598">
        <v>0.03</v>
      </c>
      <c r="L468" s="658">
        <f>Bhn!M123</f>
        <v>19000</v>
      </c>
      <c r="M468" s="658">
        <f t="shared" si="28"/>
        <v>570</v>
      </c>
      <c r="N468" s="659"/>
      <c r="O468" s="576"/>
      <c r="P468" s="576"/>
      <c r="Z468" s="564"/>
      <c r="AA468" s="564"/>
      <c r="AD468" s="564"/>
      <c r="AE468" s="564"/>
    </row>
    <row r="469" spans="3:31" s="561" customFormat="1" ht="15" customHeight="1">
      <c r="C469" s="587"/>
      <c r="D469" s="686"/>
      <c r="E469" s="588" t="s">
        <v>196</v>
      </c>
      <c r="F469" s="595"/>
      <c r="G469" s="590"/>
      <c r="H469" s="591"/>
      <c r="I469" s="592"/>
      <c r="J469" s="592" t="s">
        <v>148</v>
      </c>
      <c r="K469" s="598">
        <v>0.2</v>
      </c>
      <c r="L469" s="658">
        <f>Bhn!M124</f>
        <v>21900</v>
      </c>
      <c r="M469" s="658">
        <f t="shared" si="28"/>
        <v>4380</v>
      </c>
      <c r="N469" s="659"/>
      <c r="O469" s="576"/>
      <c r="P469" s="576"/>
      <c r="Z469" s="564"/>
      <c r="AA469" s="564"/>
      <c r="AD469" s="564"/>
      <c r="AE469" s="564"/>
    </row>
    <row r="470" spans="3:31" s="561" customFormat="1" ht="15" customHeight="1">
      <c r="C470" s="587"/>
      <c r="D470" s="686"/>
      <c r="E470" s="588" t="s">
        <v>197</v>
      </c>
      <c r="F470" s="595"/>
      <c r="G470" s="590"/>
      <c r="H470" s="591"/>
      <c r="I470" s="592"/>
      <c r="J470" s="592" t="s">
        <v>148</v>
      </c>
      <c r="K470" s="598">
        <v>0.35</v>
      </c>
      <c r="L470" s="658">
        <f>Bhn!M142</f>
        <v>35000</v>
      </c>
      <c r="M470" s="658">
        <f t="shared" si="28"/>
        <v>12250</v>
      </c>
      <c r="N470" s="659"/>
      <c r="O470" s="576"/>
      <c r="P470" s="576"/>
      <c r="Z470" s="564"/>
      <c r="AA470" s="564"/>
      <c r="AD470" s="564"/>
      <c r="AE470" s="564"/>
    </row>
    <row r="471" spans="3:31" s="561" customFormat="1" ht="15" customHeight="1">
      <c r="C471" s="587"/>
      <c r="D471" s="686"/>
      <c r="E471" s="588" t="s">
        <v>198</v>
      </c>
      <c r="F471" s="595"/>
      <c r="G471" s="590"/>
      <c r="H471" s="591"/>
      <c r="I471" s="592"/>
      <c r="J471" s="592" t="s">
        <v>148</v>
      </c>
      <c r="K471" s="598">
        <v>0.02</v>
      </c>
      <c r="L471" s="658">
        <f>Bhn!M125</f>
        <v>50000</v>
      </c>
      <c r="M471" s="658">
        <f t="shared" si="28"/>
        <v>1000</v>
      </c>
      <c r="N471" s="659"/>
      <c r="O471" s="576"/>
      <c r="P471" s="576"/>
      <c r="Z471" s="564"/>
      <c r="AA471" s="564"/>
      <c r="AD471" s="564"/>
      <c r="AE471" s="564"/>
    </row>
    <row r="472" spans="3:31" s="561" customFormat="1" ht="15" customHeight="1">
      <c r="C472" s="587"/>
      <c r="D472" s="686"/>
      <c r="E472" s="588" t="s">
        <v>199</v>
      </c>
      <c r="F472" s="595"/>
      <c r="G472" s="590"/>
      <c r="H472" s="591"/>
      <c r="I472" s="592"/>
      <c r="J472" s="592" t="s">
        <v>148</v>
      </c>
      <c r="K472" s="598">
        <v>0.01</v>
      </c>
      <c r="L472" s="658">
        <f>Bhn!M126</f>
        <v>40300</v>
      </c>
      <c r="M472" s="658">
        <f t="shared" si="28"/>
        <v>403</v>
      </c>
      <c r="N472" s="659"/>
      <c r="O472" s="576"/>
      <c r="P472" s="576"/>
      <c r="Z472" s="564"/>
      <c r="AA472" s="564"/>
      <c r="AD472" s="564"/>
      <c r="AE472" s="564"/>
    </row>
    <row r="473" spans="3:31" s="561" customFormat="1" ht="15" customHeight="1">
      <c r="C473" s="587"/>
      <c r="D473" s="686"/>
      <c r="E473" s="588" t="s">
        <v>200</v>
      </c>
      <c r="F473" s="595"/>
      <c r="G473" s="590"/>
      <c r="H473" s="591"/>
      <c r="I473" s="592"/>
      <c r="J473" s="592" t="s">
        <v>148</v>
      </c>
      <c r="K473" s="598">
        <v>0.1</v>
      </c>
      <c r="L473" s="658">
        <f>Bhn!M139</f>
        <v>12000</v>
      </c>
      <c r="M473" s="658">
        <f t="shared" si="28"/>
        <v>1200</v>
      </c>
      <c r="N473" s="659"/>
      <c r="O473" s="576"/>
      <c r="P473" s="576"/>
      <c r="Z473" s="564"/>
      <c r="AA473" s="564"/>
      <c r="AD473" s="564"/>
      <c r="AE473" s="564"/>
    </row>
    <row r="474" spans="3:31" s="561" customFormat="1" ht="15" customHeight="1">
      <c r="C474" s="587"/>
      <c r="D474" s="686"/>
      <c r="E474" s="588" t="s">
        <v>208</v>
      </c>
      <c r="F474" s="595"/>
      <c r="G474" s="590"/>
      <c r="H474" s="591"/>
      <c r="I474" s="592"/>
      <c r="J474" s="592" t="s">
        <v>148</v>
      </c>
      <c r="K474" s="598">
        <v>0.2</v>
      </c>
      <c r="L474" s="658">
        <f>Bhn!M127</f>
        <v>6900</v>
      </c>
      <c r="M474" s="658">
        <f t="shared" si="28"/>
        <v>1380</v>
      </c>
      <c r="N474" s="659"/>
      <c r="O474" s="576"/>
      <c r="P474" s="576"/>
      <c r="Z474" s="564"/>
      <c r="AA474" s="564"/>
      <c r="AD474" s="564"/>
      <c r="AE474" s="564"/>
    </row>
    <row r="475" spans="3:31" s="561" customFormat="1" ht="15" customHeight="1">
      <c r="C475" s="587"/>
      <c r="D475" s="686"/>
      <c r="E475" s="588" t="s">
        <v>201</v>
      </c>
      <c r="F475" s="595"/>
      <c r="G475" s="590"/>
      <c r="H475" s="591"/>
      <c r="I475" s="592"/>
      <c r="J475" s="592" t="s">
        <v>139</v>
      </c>
      <c r="K475" s="598">
        <v>0.01</v>
      </c>
      <c r="L475" s="658">
        <f>Bhn!M140</f>
        <v>4000</v>
      </c>
      <c r="M475" s="658">
        <f t="shared" si="28"/>
        <v>40</v>
      </c>
      <c r="N475" s="659"/>
      <c r="O475" s="576"/>
      <c r="P475" s="576"/>
      <c r="Z475" s="564"/>
      <c r="AA475" s="564"/>
      <c r="AD475" s="564"/>
      <c r="AE475" s="564"/>
    </row>
    <row r="476" spans="3:31" s="561" customFormat="1" ht="15" customHeight="1">
      <c r="C476" s="587"/>
      <c r="D476" s="686"/>
      <c r="E476" s="588" t="s">
        <v>202</v>
      </c>
      <c r="F476" s="595"/>
      <c r="G476" s="590"/>
      <c r="H476" s="591"/>
      <c r="I476" s="592"/>
      <c r="J476" s="592" t="s">
        <v>203</v>
      </c>
      <c r="K476" s="598">
        <v>0.2</v>
      </c>
      <c r="L476" s="658">
        <f>Bhn!M141</f>
        <v>6000</v>
      </c>
      <c r="M476" s="658">
        <f t="shared" si="28"/>
        <v>1200</v>
      </c>
      <c r="N476" s="659"/>
      <c r="O476" s="576"/>
      <c r="P476" s="576"/>
      <c r="Z476" s="564"/>
      <c r="AA476" s="564"/>
      <c r="AD476" s="564"/>
      <c r="AE476" s="564"/>
    </row>
    <row r="477" spans="3:31" s="561" customFormat="1" ht="15" customHeight="1">
      <c r="C477" s="587"/>
      <c r="D477" s="686"/>
      <c r="E477" s="588" t="s">
        <v>104</v>
      </c>
      <c r="F477" s="595"/>
      <c r="G477" s="590"/>
      <c r="H477" s="591"/>
      <c r="I477" s="592"/>
      <c r="J477" s="592" t="s">
        <v>155</v>
      </c>
      <c r="K477" s="598">
        <v>0.1</v>
      </c>
      <c r="L477" s="658">
        <f>Bhn!$M$138</f>
        <v>2000</v>
      </c>
      <c r="M477" s="658">
        <f t="shared" si="28"/>
        <v>200</v>
      </c>
      <c r="N477" s="659"/>
      <c r="O477" s="576"/>
      <c r="P477" s="576"/>
      <c r="Z477" s="564"/>
      <c r="AA477" s="564"/>
      <c r="AD477" s="564"/>
      <c r="AE477" s="564"/>
    </row>
    <row r="478" spans="3:31" s="561" customFormat="1" ht="15" customHeight="1">
      <c r="C478" s="587"/>
      <c r="D478" s="686"/>
      <c r="E478" s="588" t="s">
        <v>53</v>
      </c>
      <c r="F478" s="595"/>
      <c r="G478" s="590"/>
      <c r="H478" s="591"/>
      <c r="I478" s="592"/>
      <c r="J478" s="651"/>
      <c r="K478" s="598">
        <v>0.285</v>
      </c>
      <c r="L478" s="658">
        <f>Bhn!$M$31</f>
        <v>35000</v>
      </c>
      <c r="M478" s="658">
        <f t="shared" si="28"/>
        <v>9975</v>
      </c>
      <c r="N478" s="659"/>
      <c r="O478" s="576"/>
      <c r="P478" s="576"/>
      <c r="Z478" s="564"/>
      <c r="AA478" s="564"/>
      <c r="AD478" s="564"/>
      <c r="AE478" s="564"/>
    </row>
    <row r="479" spans="3:31" s="561" customFormat="1" ht="15" customHeight="1">
      <c r="C479" s="587"/>
      <c r="D479" s="686"/>
      <c r="E479" s="588" t="s">
        <v>54</v>
      </c>
      <c r="F479" s="595"/>
      <c r="G479" s="590"/>
      <c r="H479" s="591"/>
      <c r="I479" s="592"/>
      <c r="J479" s="651"/>
      <c r="K479" s="598">
        <v>0.04</v>
      </c>
      <c r="L479" s="658">
        <f>Bhn!$M$32</f>
        <v>40000</v>
      </c>
      <c r="M479" s="658">
        <f t="shared" si="28"/>
        <v>1600</v>
      </c>
      <c r="N479" s="659"/>
      <c r="O479" s="576"/>
      <c r="P479" s="576"/>
      <c r="Z479" s="564"/>
      <c r="AA479" s="564"/>
      <c r="AD479" s="564"/>
      <c r="AE479" s="564"/>
    </row>
    <row r="480" spans="3:31" s="561" customFormat="1" ht="15" customHeight="1">
      <c r="C480" s="587"/>
      <c r="D480" s="686"/>
      <c r="E480" s="588" t="s">
        <v>43</v>
      </c>
      <c r="F480" s="595"/>
      <c r="G480" s="590"/>
      <c r="H480" s="591"/>
      <c r="I480" s="592"/>
      <c r="J480" s="651"/>
      <c r="K480" s="598">
        <v>0.25</v>
      </c>
      <c r="L480" s="658">
        <f>Bhn!$M$23</f>
        <v>30000</v>
      </c>
      <c r="M480" s="658">
        <f aca="true" t="shared" si="29" ref="M480:M527">K480*L480</f>
        <v>7500</v>
      </c>
      <c r="N480" s="659"/>
      <c r="O480" s="576"/>
      <c r="P480" s="576"/>
      <c r="Z480" s="564"/>
      <c r="AA480" s="564"/>
      <c r="AD480" s="564"/>
      <c r="AE480" s="564"/>
    </row>
    <row r="481" spans="3:31" s="561" customFormat="1" ht="15" customHeight="1">
      <c r="C481" s="587"/>
      <c r="D481" s="686"/>
      <c r="E481" s="588" t="s">
        <v>46</v>
      </c>
      <c r="F481" s="595"/>
      <c r="G481" s="590"/>
      <c r="H481" s="591"/>
      <c r="I481" s="592"/>
      <c r="J481" s="651"/>
      <c r="K481" s="598">
        <v>0.02</v>
      </c>
      <c r="L481" s="658">
        <f>Bhn!$M$24</f>
        <v>40000</v>
      </c>
      <c r="M481" s="658">
        <f t="shared" si="29"/>
        <v>800</v>
      </c>
      <c r="N481" s="659"/>
      <c r="O481" s="576"/>
      <c r="P481" s="576"/>
      <c r="Z481" s="564"/>
      <c r="AA481" s="564"/>
      <c r="AD481" s="564"/>
      <c r="AE481" s="564"/>
    </row>
    <row r="482" spans="3:31" s="561" customFormat="1" ht="15" customHeight="1">
      <c r="C482" s="587"/>
      <c r="D482" s="686"/>
      <c r="E482" s="588"/>
      <c r="F482" s="595"/>
      <c r="G482" s="590"/>
      <c r="H482" s="591"/>
      <c r="I482" s="592"/>
      <c r="J482" s="651"/>
      <c r="K482" s="598"/>
      <c r="L482" s="658"/>
      <c r="M482" s="658"/>
      <c r="N482" s="659"/>
      <c r="O482" s="576"/>
      <c r="P482" s="576"/>
      <c r="Z482" s="564"/>
      <c r="AA482" s="564"/>
      <c r="AD482" s="564"/>
      <c r="AE482" s="564"/>
    </row>
    <row r="483" spans="3:31" s="578" customFormat="1" ht="15" customHeight="1">
      <c r="C483" s="694">
        <f>C467+1</f>
        <v>54</v>
      </c>
      <c r="D483" s="688"/>
      <c r="E483" s="687" t="s">
        <v>919</v>
      </c>
      <c r="F483" s="691"/>
      <c r="G483" s="689"/>
      <c r="H483" s="693"/>
      <c r="I483" s="654"/>
      <c r="J483" s="655" t="s">
        <v>116</v>
      </c>
      <c r="K483" s="661"/>
      <c r="L483" s="659"/>
      <c r="M483" s="659"/>
      <c r="N483" s="657">
        <f>SUM(M484:M489)</f>
        <v>74530</v>
      </c>
      <c r="O483" s="560"/>
      <c r="P483" s="560"/>
      <c r="AD483" s="580"/>
      <c r="AE483" s="580"/>
    </row>
    <row r="484" spans="3:31" s="561" customFormat="1" ht="15" customHeight="1">
      <c r="C484" s="587"/>
      <c r="D484" s="686"/>
      <c r="E484" s="588" t="s">
        <v>920</v>
      </c>
      <c r="F484" s="595"/>
      <c r="G484" s="590"/>
      <c r="H484" s="591"/>
      <c r="I484" s="592"/>
      <c r="J484" s="593" t="s">
        <v>149</v>
      </c>
      <c r="K484" s="598">
        <v>1</v>
      </c>
      <c r="L484" s="658">
        <f>Bhn!$M$158</f>
        <v>46150</v>
      </c>
      <c r="M484" s="658">
        <f t="shared" si="29"/>
        <v>46150</v>
      </c>
      <c r="N484" s="657"/>
      <c r="O484" s="559"/>
      <c r="P484" s="559"/>
      <c r="AD484" s="564"/>
      <c r="AE484" s="564"/>
    </row>
    <row r="485" spans="3:16" s="561" customFormat="1" ht="15" customHeight="1">
      <c r="C485" s="587"/>
      <c r="D485" s="686"/>
      <c r="E485" s="588" t="s">
        <v>58</v>
      </c>
      <c r="F485" s="595"/>
      <c r="G485" s="590"/>
      <c r="H485" s="591"/>
      <c r="I485" s="592"/>
      <c r="J485" s="593" t="s">
        <v>134</v>
      </c>
      <c r="K485" s="598">
        <v>0.072</v>
      </c>
      <c r="L485" s="658">
        <f>Bhn!$M$37</f>
        <v>70000</v>
      </c>
      <c r="M485" s="658">
        <f t="shared" si="29"/>
        <v>5040</v>
      </c>
      <c r="N485" s="657"/>
      <c r="O485" s="559"/>
      <c r="P485" s="559"/>
    </row>
    <row r="486" spans="3:16" s="561" customFormat="1" ht="15" customHeight="1">
      <c r="C486" s="587"/>
      <c r="D486" s="686"/>
      <c r="E486" s="588" t="s">
        <v>24</v>
      </c>
      <c r="F486" s="595"/>
      <c r="G486" s="590"/>
      <c r="H486" s="591"/>
      <c r="I486" s="592"/>
      <c r="J486" s="593" t="s">
        <v>157</v>
      </c>
      <c r="K486" s="598">
        <v>0.025</v>
      </c>
      <c r="L486" s="658">
        <v>30000</v>
      </c>
      <c r="M486" s="658">
        <f t="shared" si="29"/>
        <v>750</v>
      </c>
      <c r="N486" s="657"/>
      <c r="O486" s="559"/>
      <c r="P486" s="559"/>
    </row>
    <row r="487" spans="3:16" s="561" customFormat="1" ht="15" customHeight="1">
      <c r="C487" s="587"/>
      <c r="D487" s="686"/>
      <c r="E487" s="588" t="s">
        <v>47</v>
      </c>
      <c r="F487" s="595"/>
      <c r="G487" s="590"/>
      <c r="H487" s="591"/>
      <c r="I487" s="592"/>
      <c r="J487" s="593" t="s">
        <v>157</v>
      </c>
      <c r="K487" s="598">
        <v>0.2</v>
      </c>
      <c r="L487" s="658">
        <f>Bhn!$M$25</f>
        <v>40000</v>
      </c>
      <c r="M487" s="658">
        <f t="shared" si="29"/>
        <v>8000</v>
      </c>
      <c r="N487" s="657"/>
      <c r="O487" s="559"/>
      <c r="P487" s="559"/>
    </row>
    <row r="488" spans="3:16" s="561" customFormat="1" ht="15" customHeight="1">
      <c r="C488" s="587"/>
      <c r="D488" s="686"/>
      <c r="E488" s="588" t="s">
        <v>43</v>
      </c>
      <c r="F488" s="595"/>
      <c r="G488" s="590"/>
      <c r="H488" s="591"/>
      <c r="I488" s="592"/>
      <c r="J488" s="593" t="s">
        <v>157</v>
      </c>
      <c r="K488" s="598">
        <v>0.429</v>
      </c>
      <c r="L488" s="658">
        <f>Bhn!$M$23</f>
        <v>30000</v>
      </c>
      <c r="M488" s="658">
        <f t="shared" si="29"/>
        <v>12870</v>
      </c>
      <c r="N488" s="657"/>
      <c r="O488" s="559"/>
      <c r="P488" s="559"/>
    </row>
    <row r="489" spans="3:16" s="561" customFormat="1" ht="15" customHeight="1">
      <c r="C489" s="587"/>
      <c r="D489" s="686"/>
      <c r="E489" s="588" t="s">
        <v>46</v>
      </c>
      <c r="F489" s="595"/>
      <c r="G489" s="590"/>
      <c r="H489" s="591"/>
      <c r="I489" s="592"/>
      <c r="J489" s="593" t="s">
        <v>157</v>
      </c>
      <c r="K489" s="598">
        <v>0.043</v>
      </c>
      <c r="L489" s="658">
        <f>Bhn!$M$24</f>
        <v>40000</v>
      </c>
      <c r="M489" s="658">
        <f t="shared" si="29"/>
        <v>1719.9999999999998</v>
      </c>
      <c r="N489" s="659"/>
      <c r="O489" s="559"/>
      <c r="P489" s="559"/>
    </row>
    <row r="490" spans="3:31" s="578" customFormat="1" ht="15" customHeight="1">
      <c r="C490" s="694">
        <f>+C483+1</f>
        <v>55</v>
      </c>
      <c r="D490" s="688"/>
      <c r="E490" s="687" t="s">
        <v>921</v>
      </c>
      <c r="F490" s="691"/>
      <c r="G490" s="689"/>
      <c r="H490" s="693"/>
      <c r="I490" s="654"/>
      <c r="J490" s="655" t="s">
        <v>116</v>
      </c>
      <c r="K490" s="661"/>
      <c r="L490" s="659"/>
      <c r="M490" s="659"/>
      <c r="N490" s="657">
        <f>SUM(M491:M496)</f>
        <v>100140</v>
      </c>
      <c r="O490" s="560"/>
      <c r="P490" s="560"/>
      <c r="AD490" s="580"/>
      <c r="AE490" s="580"/>
    </row>
    <row r="491" spans="3:31" s="561" customFormat="1" ht="15" customHeight="1">
      <c r="C491" s="587"/>
      <c r="D491" s="686"/>
      <c r="E491" s="588" t="s">
        <v>922</v>
      </c>
      <c r="F491" s="595"/>
      <c r="G491" s="590"/>
      <c r="H491" s="591"/>
      <c r="I491" s="592"/>
      <c r="J491" s="593" t="s">
        <v>149</v>
      </c>
      <c r="K491" s="598">
        <v>1</v>
      </c>
      <c r="L491" s="658">
        <f>Bhn!M159</f>
        <v>71760</v>
      </c>
      <c r="M491" s="658">
        <f aca="true" t="shared" si="30" ref="M491:M496">K491*L491</f>
        <v>71760</v>
      </c>
      <c r="N491" s="657"/>
      <c r="O491" s="559"/>
      <c r="P491" s="559"/>
      <c r="AD491" s="564"/>
      <c r="AE491" s="564"/>
    </row>
    <row r="492" spans="3:16" s="561" customFormat="1" ht="15" customHeight="1">
      <c r="C492" s="587"/>
      <c r="D492" s="686"/>
      <c r="E492" s="588" t="s">
        <v>58</v>
      </c>
      <c r="F492" s="595"/>
      <c r="G492" s="590"/>
      <c r="H492" s="591"/>
      <c r="I492" s="592"/>
      <c r="J492" s="593" t="s">
        <v>134</v>
      </c>
      <c r="K492" s="598">
        <v>0.072</v>
      </c>
      <c r="L492" s="658">
        <f>Bhn!$M$37</f>
        <v>70000</v>
      </c>
      <c r="M492" s="658">
        <f t="shared" si="30"/>
        <v>5040</v>
      </c>
      <c r="N492" s="657"/>
      <c r="O492" s="559"/>
      <c r="P492" s="559"/>
    </row>
    <row r="493" spans="3:16" s="561" customFormat="1" ht="15" customHeight="1">
      <c r="C493" s="587"/>
      <c r="D493" s="686"/>
      <c r="E493" s="588" t="s">
        <v>24</v>
      </c>
      <c r="F493" s="595"/>
      <c r="G493" s="590"/>
      <c r="H493" s="591"/>
      <c r="I493" s="592"/>
      <c r="J493" s="593" t="s">
        <v>157</v>
      </c>
      <c r="K493" s="598">
        <v>0.025</v>
      </c>
      <c r="L493" s="658">
        <v>30000</v>
      </c>
      <c r="M493" s="658">
        <f t="shared" si="30"/>
        <v>750</v>
      </c>
      <c r="N493" s="657"/>
      <c r="O493" s="559"/>
      <c r="P493" s="559"/>
    </row>
    <row r="494" spans="3:16" s="561" customFormat="1" ht="15" customHeight="1">
      <c r="C494" s="587"/>
      <c r="D494" s="686"/>
      <c r="E494" s="588" t="s">
        <v>47</v>
      </c>
      <c r="F494" s="595"/>
      <c r="G494" s="590"/>
      <c r="H494" s="591"/>
      <c r="I494" s="592"/>
      <c r="J494" s="593" t="s">
        <v>157</v>
      </c>
      <c r="K494" s="598">
        <v>0.2</v>
      </c>
      <c r="L494" s="658">
        <f>Bhn!$M$25</f>
        <v>40000</v>
      </c>
      <c r="M494" s="658">
        <f t="shared" si="30"/>
        <v>8000</v>
      </c>
      <c r="N494" s="657"/>
      <c r="O494" s="559"/>
      <c r="P494" s="559"/>
    </row>
    <row r="495" spans="3:16" s="561" customFormat="1" ht="15" customHeight="1">
      <c r="C495" s="587"/>
      <c r="D495" s="686"/>
      <c r="E495" s="588" t="s">
        <v>43</v>
      </c>
      <c r="F495" s="595"/>
      <c r="G495" s="590"/>
      <c r="H495" s="591"/>
      <c r="I495" s="592"/>
      <c r="J495" s="593" t="s">
        <v>157</v>
      </c>
      <c r="K495" s="598">
        <v>0.429</v>
      </c>
      <c r="L495" s="658">
        <f>Bhn!$M$23</f>
        <v>30000</v>
      </c>
      <c r="M495" s="658">
        <f t="shared" si="30"/>
        <v>12870</v>
      </c>
      <c r="N495" s="657"/>
      <c r="O495" s="559"/>
      <c r="P495" s="559"/>
    </row>
    <row r="496" spans="3:16" s="561" customFormat="1" ht="15" customHeight="1">
      <c r="C496" s="587"/>
      <c r="D496" s="686"/>
      <c r="E496" s="588" t="s">
        <v>46</v>
      </c>
      <c r="F496" s="595"/>
      <c r="G496" s="590"/>
      <c r="H496" s="591"/>
      <c r="I496" s="592"/>
      <c r="J496" s="593" t="s">
        <v>157</v>
      </c>
      <c r="K496" s="598">
        <v>0.043</v>
      </c>
      <c r="L496" s="658">
        <f>Bhn!$M$24</f>
        <v>40000</v>
      </c>
      <c r="M496" s="658">
        <f t="shared" si="30"/>
        <v>1719.9999999999998</v>
      </c>
      <c r="N496" s="659"/>
      <c r="O496" s="559"/>
      <c r="P496" s="559"/>
    </row>
    <row r="497" spans="3:16" s="561" customFormat="1" ht="15" customHeight="1">
      <c r="C497" s="587"/>
      <c r="D497" s="686"/>
      <c r="E497" s="588"/>
      <c r="F497" s="595"/>
      <c r="G497" s="590"/>
      <c r="H497" s="591"/>
      <c r="I497" s="592"/>
      <c r="J497" s="593"/>
      <c r="K497" s="598"/>
      <c r="L497" s="658"/>
      <c r="M497" s="658"/>
      <c r="N497" s="659"/>
      <c r="O497" s="559"/>
      <c r="P497" s="559"/>
    </row>
    <row r="498" spans="3:16" s="561" customFormat="1" ht="15" customHeight="1">
      <c r="C498" s="694">
        <f>+C490+1</f>
        <v>56</v>
      </c>
      <c r="D498" s="686"/>
      <c r="E498" s="687" t="s">
        <v>1095</v>
      </c>
      <c r="F498" s="691"/>
      <c r="G498" s="689"/>
      <c r="H498" s="693"/>
      <c r="I498" s="654"/>
      <c r="J498" s="655" t="s">
        <v>116</v>
      </c>
      <c r="K498" s="661"/>
      <c r="L498" s="659"/>
      <c r="M498" s="659"/>
      <c r="N498" s="657">
        <f>SUM(M499:M504)</f>
        <v>82000</v>
      </c>
      <c r="O498" s="559"/>
      <c r="P498" s="559"/>
    </row>
    <row r="499" spans="3:16" s="561" customFormat="1" ht="15" customHeight="1">
      <c r="C499" s="587"/>
      <c r="D499" s="686"/>
      <c r="E499" s="588" t="s">
        <v>1094</v>
      </c>
      <c r="F499" s="595"/>
      <c r="G499" s="590"/>
      <c r="H499" s="591"/>
      <c r="I499" s="592"/>
      <c r="J499" s="593" t="s">
        <v>149</v>
      </c>
      <c r="K499" s="598">
        <v>1</v>
      </c>
      <c r="L499" s="658">
        <f>Bhn!M161</f>
        <v>53620</v>
      </c>
      <c r="M499" s="658">
        <f aca="true" t="shared" si="31" ref="M499:M504">K499*L499</f>
        <v>53620</v>
      </c>
      <c r="N499" s="657"/>
      <c r="O499" s="559"/>
      <c r="P499" s="559"/>
    </row>
    <row r="500" spans="3:16" s="561" customFormat="1" ht="15" customHeight="1">
      <c r="C500" s="587"/>
      <c r="D500" s="686"/>
      <c r="E500" s="588" t="s">
        <v>58</v>
      </c>
      <c r="F500" s="595"/>
      <c r="G500" s="590"/>
      <c r="H500" s="591"/>
      <c r="I500" s="592"/>
      <c r="J500" s="593" t="s">
        <v>134</v>
      </c>
      <c r="K500" s="598">
        <v>0.072</v>
      </c>
      <c r="L500" s="658">
        <f>Bhn!$M$37</f>
        <v>70000</v>
      </c>
      <c r="M500" s="658">
        <f t="shared" si="31"/>
        <v>5040</v>
      </c>
      <c r="N500" s="657"/>
      <c r="O500" s="559"/>
      <c r="P500" s="559"/>
    </row>
    <row r="501" spans="3:16" s="561" customFormat="1" ht="15" customHeight="1">
      <c r="C501" s="587"/>
      <c r="D501" s="686"/>
      <c r="E501" s="588" t="s">
        <v>24</v>
      </c>
      <c r="F501" s="595"/>
      <c r="G501" s="590"/>
      <c r="H501" s="591"/>
      <c r="I501" s="592"/>
      <c r="J501" s="593" t="s">
        <v>157</v>
      </c>
      <c r="K501" s="598">
        <v>0.025</v>
      </c>
      <c r="L501" s="658">
        <v>30000</v>
      </c>
      <c r="M501" s="658">
        <f t="shared" si="31"/>
        <v>750</v>
      </c>
      <c r="N501" s="657"/>
      <c r="O501" s="559"/>
      <c r="P501" s="559"/>
    </row>
    <row r="502" spans="3:16" s="561" customFormat="1" ht="15" customHeight="1">
      <c r="C502" s="587"/>
      <c r="D502" s="686"/>
      <c r="E502" s="588" t="s">
        <v>47</v>
      </c>
      <c r="F502" s="595"/>
      <c r="G502" s="590"/>
      <c r="H502" s="591"/>
      <c r="I502" s="592"/>
      <c r="J502" s="593" t="s">
        <v>157</v>
      </c>
      <c r="K502" s="598">
        <v>0.2</v>
      </c>
      <c r="L502" s="658">
        <f>Bhn!$M$25</f>
        <v>40000</v>
      </c>
      <c r="M502" s="658">
        <f t="shared" si="31"/>
        <v>8000</v>
      </c>
      <c r="N502" s="657"/>
      <c r="O502" s="559"/>
      <c r="P502" s="559"/>
    </row>
    <row r="503" spans="3:16" s="561" customFormat="1" ht="15" customHeight="1">
      <c r="C503" s="587"/>
      <c r="D503" s="686"/>
      <c r="E503" s="588" t="s">
        <v>43</v>
      </c>
      <c r="F503" s="595"/>
      <c r="G503" s="590"/>
      <c r="H503" s="591"/>
      <c r="I503" s="592"/>
      <c r="J503" s="593" t="s">
        <v>157</v>
      </c>
      <c r="K503" s="598">
        <v>0.429</v>
      </c>
      <c r="L503" s="658">
        <f>Bhn!$M$23</f>
        <v>30000</v>
      </c>
      <c r="M503" s="658">
        <f t="shared" si="31"/>
        <v>12870</v>
      </c>
      <c r="N503" s="657"/>
      <c r="O503" s="559"/>
      <c r="P503" s="559"/>
    </row>
    <row r="504" spans="3:16" s="561" customFormat="1" ht="15" customHeight="1">
      <c r="C504" s="587"/>
      <c r="D504" s="686"/>
      <c r="E504" s="588" t="s">
        <v>46</v>
      </c>
      <c r="F504" s="595"/>
      <c r="G504" s="590"/>
      <c r="H504" s="591"/>
      <c r="I504" s="592"/>
      <c r="J504" s="593" t="s">
        <v>157</v>
      </c>
      <c r="K504" s="598">
        <v>0.043</v>
      </c>
      <c r="L504" s="658">
        <f>Bhn!$M$24</f>
        <v>40000</v>
      </c>
      <c r="M504" s="658">
        <f t="shared" si="31"/>
        <v>1719.9999999999998</v>
      </c>
      <c r="N504" s="659"/>
      <c r="O504" s="559"/>
      <c r="P504" s="559"/>
    </row>
    <row r="505" spans="3:16" s="561" customFormat="1" ht="15" customHeight="1">
      <c r="C505" s="587"/>
      <c r="D505" s="686"/>
      <c r="E505" s="588"/>
      <c r="F505" s="595"/>
      <c r="G505" s="590"/>
      <c r="H505" s="591"/>
      <c r="I505" s="592"/>
      <c r="J505" s="593"/>
      <c r="K505" s="598"/>
      <c r="L505" s="658"/>
      <c r="M505" s="658"/>
      <c r="N505" s="659"/>
      <c r="O505" s="559"/>
      <c r="P505" s="559"/>
    </row>
    <row r="506" spans="2:16" s="578" customFormat="1" ht="15" customHeight="1">
      <c r="B506" s="577" t="s">
        <v>41</v>
      </c>
      <c r="C506" s="694">
        <f>+C498+1</f>
        <v>57</v>
      </c>
      <c r="D506" s="688"/>
      <c r="E506" s="687" t="s">
        <v>927</v>
      </c>
      <c r="F506" s="691"/>
      <c r="G506" s="689"/>
      <c r="H506" s="693"/>
      <c r="I506" s="669" t="s">
        <v>7</v>
      </c>
      <c r="J506" s="655" t="s">
        <v>156</v>
      </c>
      <c r="K506" s="661"/>
      <c r="L506" s="657"/>
      <c r="M506" s="659"/>
      <c r="N506" s="657">
        <f>SUM(M507:M512)</f>
        <v>10813</v>
      </c>
      <c r="O506" s="560"/>
      <c r="P506" s="560"/>
    </row>
    <row r="507" spans="3:16" s="561" customFormat="1" ht="15" customHeight="1">
      <c r="C507" s="587"/>
      <c r="D507" s="686"/>
      <c r="E507" s="588" t="s">
        <v>71</v>
      </c>
      <c r="F507" s="595"/>
      <c r="G507" s="590"/>
      <c r="H507" s="591"/>
      <c r="I507" s="592"/>
      <c r="J507" s="593" t="s">
        <v>148</v>
      </c>
      <c r="K507" s="598">
        <v>1.1</v>
      </c>
      <c r="L507" s="658">
        <f>Bhn!$M$47</f>
        <v>6810</v>
      </c>
      <c r="M507" s="658">
        <f t="shared" si="29"/>
        <v>7491.000000000001</v>
      </c>
      <c r="N507" s="657"/>
      <c r="O507" s="559"/>
      <c r="P507" s="559"/>
    </row>
    <row r="508" spans="3:16" s="561" customFormat="1" ht="15" customHeight="1">
      <c r="C508" s="587"/>
      <c r="D508" s="686"/>
      <c r="E508" s="588" t="s">
        <v>125</v>
      </c>
      <c r="F508" s="595"/>
      <c r="G508" s="590"/>
      <c r="H508" s="591"/>
      <c r="I508" s="592"/>
      <c r="J508" s="593" t="s">
        <v>148</v>
      </c>
      <c r="K508" s="598">
        <v>0.08</v>
      </c>
      <c r="L508" s="658">
        <f>Bhn!$M$129</f>
        <v>12500</v>
      </c>
      <c r="M508" s="658">
        <f t="shared" si="29"/>
        <v>1000</v>
      </c>
      <c r="N508" s="657"/>
      <c r="O508" s="559"/>
      <c r="P508" s="559"/>
    </row>
    <row r="509" spans="3:16" s="561" customFormat="1" ht="15" customHeight="1">
      <c r="C509" s="587"/>
      <c r="D509" s="686"/>
      <c r="E509" s="588" t="s">
        <v>51</v>
      </c>
      <c r="F509" s="595"/>
      <c r="G509" s="590"/>
      <c r="H509" s="591"/>
      <c r="I509" s="592"/>
      <c r="J509" s="593" t="s">
        <v>157</v>
      </c>
      <c r="K509" s="598">
        <v>0.006</v>
      </c>
      <c r="L509" s="658">
        <f>Bhn!$M$29</f>
        <v>40000</v>
      </c>
      <c r="M509" s="658">
        <f t="shared" si="29"/>
        <v>240</v>
      </c>
      <c r="N509" s="657"/>
      <c r="O509" s="559"/>
      <c r="P509" s="559"/>
    </row>
    <row r="510" spans="3:24" s="561" customFormat="1" ht="15" customHeight="1">
      <c r="C510" s="587"/>
      <c r="D510" s="686"/>
      <c r="E510" s="588" t="s">
        <v>52</v>
      </c>
      <c r="F510" s="595"/>
      <c r="G510" s="590"/>
      <c r="H510" s="591"/>
      <c r="I510" s="592"/>
      <c r="J510" s="593" t="s">
        <v>157</v>
      </c>
      <c r="K510" s="598">
        <v>0.006</v>
      </c>
      <c r="L510" s="658">
        <f>Bhn!$M$28</f>
        <v>45000</v>
      </c>
      <c r="M510" s="658">
        <f t="shared" si="29"/>
        <v>270</v>
      </c>
      <c r="N510" s="657"/>
      <c r="O510" s="559"/>
      <c r="P510" s="559"/>
      <c r="T510" s="564"/>
      <c r="X510" s="564"/>
    </row>
    <row r="511" spans="3:24" s="561" customFormat="1" ht="15" customHeight="1">
      <c r="C511" s="587"/>
      <c r="D511" s="686"/>
      <c r="E511" s="588" t="s">
        <v>43</v>
      </c>
      <c r="F511" s="595"/>
      <c r="G511" s="590"/>
      <c r="H511" s="591"/>
      <c r="I511" s="592"/>
      <c r="J511" s="593" t="s">
        <v>157</v>
      </c>
      <c r="K511" s="598">
        <v>0.06</v>
      </c>
      <c r="L511" s="658">
        <f>Bhn!$M$23</f>
        <v>30000</v>
      </c>
      <c r="M511" s="658">
        <f t="shared" si="29"/>
        <v>1800</v>
      </c>
      <c r="N511" s="657"/>
      <c r="O511" s="559"/>
      <c r="P511" s="559"/>
      <c r="T511" s="564"/>
      <c r="X511" s="564"/>
    </row>
    <row r="512" spans="3:24" s="561" customFormat="1" ht="15" customHeight="1">
      <c r="C512" s="587"/>
      <c r="D512" s="686"/>
      <c r="E512" s="588" t="s">
        <v>46</v>
      </c>
      <c r="F512" s="595"/>
      <c r="G512" s="590"/>
      <c r="H512" s="591"/>
      <c r="I512" s="592"/>
      <c r="J512" s="593" t="s">
        <v>157</v>
      </c>
      <c r="K512" s="668">
        <v>0.0003</v>
      </c>
      <c r="L512" s="658">
        <f>Bhn!$M$24</f>
        <v>40000</v>
      </c>
      <c r="M512" s="658">
        <f t="shared" si="29"/>
        <v>11.999999999999998</v>
      </c>
      <c r="N512" s="659"/>
      <c r="O512" s="576">
        <f>N512*1.1</f>
        <v>0</v>
      </c>
      <c r="P512" s="576"/>
      <c r="T512" s="564"/>
      <c r="X512" s="564"/>
    </row>
    <row r="513" spans="3:24" s="561" customFormat="1" ht="15" customHeight="1">
      <c r="C513" s="587"/>
      <c r="D513" s="686"/>
      <c r="E513" s="588"/>
      <c r="F513" s="595"/>
      <c r="G513" s="590"/>
      <c r="H513" s="591"/>
      <c r="I513" s="592"/>
      <c r="J513" s="593"/>
      <c r="K513" s="668"/>
      <c r="L513" s="658"/>
      <c r="M513" s="658"/>
      <c r="N513" s="659"/>
      <c r="O513" s="576"/>
      <c r="P513" s="576"/>
      <c r="T513" s="564"/>
      <c r="X513" s="564"/>
    </row>
    <row r="514" spans="3:19" s="586" customFormat="1" ht="12.75">
      <c r="C514" s="694">
        <f>+C506+1</f>
        <v>58</v>
      </c>
      <c r="D514" s="688"/>
      <c r="E514" s="687" t="s">
        <v>127</v>
      </c>
      <c r="F514" s="691"/>
      <c r="G514" s="689"/>
      <c r="H514" s="693"/>
      <c r="I514" s="654"/>
      <c r="J514" s="655" t="s">
        <v>122</v>
      </c>
      <c r="K514" s="661"/>
      <c r="L514" s="657"/>
      <c r="M514" s="659"/>
      <c r="N514" s="657"/>
      <c r="S514" s="578"/>
    </row>
    <row r="515" spans="3:14" ht="12.75">
      <c r="C515" s="587"/>
      <c r="D515" s="686"/>
      <c r="E515" s="588" t="s">
        <v>128</v>
      </c>
      <c r="F515" s="595"/>
      <c r="G515" s="590"/>
      <c r="H515" s="591"/>
      <c r="I515" s="592"/>
      <c r="J515" s="593" t="s">
        <v>153</v>
      </c>
      <c r="K515" s="598">
        <v>1</v>
      </c>
      <c r="L515" s="658">
        <f>Bhn!M164</f>
        <v>35000</v>
      </c>
      <c r="M515" s="658">
        <f t="shared" si="29"/>
        <v>35000</v>
      </c>
      <c r="N515" s="657">
        <f>SUM(M515:M520)</f>
        <v>99171.53837499999</v>
      </c>
    </row>
    <row r="516" spans="3:14" ht="12.75">
      <c r="C516" s="587"/>
      <c r="D516" s="686"/>
      <c r="E516" s="588" t="s">
        <v>886</v>
      </c>
      <c r="F516" s="595"/>
      <c r="G516" s="590"/>
      <c r="H516" s="591"/>
      <c r="I516" s="592"/>
      <c r="J516" s="593" t="s">
        <v>134</v>
      </c>
      <c r="K516" s="598">
        <v>0.1245</v>
      </c>
      <c r="L516" s="658">
        <f>N54</f>
        <v>53610.75</v>
      </c>
      <c r="M516" s="658">
        <f t="shared" si="29"/>
        <v>6674.538375</v>
      </c>
      <c r="N516" s="657"/>
    </row>
    <row r="517" spans="3:14" ht="12.75">
      <c r="C517" s="587"/>
      <c r="D517" s="686"/>
      <c r="E517" s="588" t="s">
        <v>117</v>
      </c>
      <c r="F517" s="595"/>
      <c r="G517" s="590"/>
      <c r="H517" s="591"/>
      <c r="I517" s="592"/>
      <c r="J517" s="593" t="s">
        <v>149</v>
      </c>
      <c r="K517" s="598">
        <v>1.3</v>
      </c>
      <c r="L517" s="658">
        <f>N71</f>
        <v>21258</v>
      </c>
      <c r="M517" s="658">
        <f t="shared" si="29"/>
        <v>27635.4</v>
      </c>
      <c r="N517" s="657"/>
    </row>
    <row r="518" spans="3:14" ht="12.75">
      <c r="C518" s="587"/>
      <c r="D518" s="686"/>
      <c r="E518" s="588" t="s">
        <v>166</v>
      </c>
      <c r="F518" s="595"/>
      <c r="G518" s="590"/>
      <c r="H518" s="591"/>
      <c r="I518" s="592"/>
      <c r="J518" s="593" t="s">
        <v>153</v>
      </c>
      <c r="K518" s="598">
        <v>3</v>
      </c>
      <c r="L518" s="658">
        <f>N103</f>
        <v>5422.4</v>
      </c>
      <c r="M518" s="658">
        <f t="shared" si="29"/>
        <v>16267.199999999999</v>
      </c>
      <c r="N518" s="657"/>
    </row>
    <row r="519" spans="3:14" ht="12.75">
      <c r="C519" s="587"/>
      <c r="D519" s="686"/>
      <c r="E519" s="588" t="s">
        <v>113</v>
      </c>
      <c r="F519" s="595"/>
      <c r="G519" s="590"/>
      <c r="H519" s="591"/>
      <c r="I519" s="592"/>
      <c r="J519" s="593" t="s">
        <v>134</v>
      </c>
      <c r="K519" s="598">
        <v>0.06</v>
      </c>
      <c r="L519" s="658">
        <f>N27</f>
        <v>93400</v>
      </c>
      <c r="M519" s="658">
        <f t="shared" si="29"/>
        <v>5604</v>
      </c>
      <c r="N519" s="657"/>
    </row>
    <row r="520" spans="3:14" ht="12.75">
      <c r="C520" s="587"/>
      <c r="D520" s="686"/>
      <c r="E520" s="588" t="s">
        <v>110</v>
      </c>
      <c r="F520" s="595"/>
      <c r="G520" s="590"/>
      <c r="H520" s="591"/>
      <c r="I520" s="592"/>
      <c r="J520" s="593" t="s">
        <v>134</v>
      </c>
      <c r="K520" s="598">
        <v>0.32</v>
      </c>
      <c r="L520" s="658">
        <f>N16</f>
        <v>24970</v>
      </c>
      <c r="M520" s="658">
        <f t="shared" si="29"/>
        <v>7990.400000000001</v>
      </c>
      <c r="N520" s="659"/>
    </row>
    <row r="521" spans="3:14" ht="12.75">
      <c r="C521" s="587"/>
      <c r="D521" s="686"/>
      <c r="E521" s="588"/>
      <c r="F521" s="595"/>
      <c r="G521" s="590"/>
      <c r="H521" s="591"/>
      <c r="I521" s="592"/>
      <c r="J521" s="593"/>
      <c r="K521" s="598"/>
      <c r="L521" s="658"/>
      <c r="M521" s="658"/>
      <c r="N521" s="659"/>
    </row>
    <row r="522" spans="3:19" s="586" customFormat="1" ht="12.75">
      <c r="C522" s="694">
        <f>C514+1</f>
        <v>59</v>
      </c>
      <c r="D522" s="694"/>
      <c r="E522" s="691" t="s">
        <v>160</v>
      </c>
      <c r="F522" s="691"/>
      <c r="G522" s="691"/>
      <c r="H522" s="690"/>
      <c r="I522" s="669"/>
      <c r="J522" s="669" t="s">
        <v>11</v>
      </c>
      <c r="K522" s="661"/>
      <c r="L522" s="661"/>
      <c r="M522" s="659"/>
      <c r="N522" s="677">
        <f>SUM(M523:M527)</f>
        <v>86275.84</v>
      </c>
      <c r="S522" s="578"/>
    </row>
    <row r="523" spans="3:14" ht="12.75">
      <c r="C523" s="587"/>
      <c r="D523" s="587"/>
      <c r="E523" s="588" t="s">
        <v>110</v>
      </c>
      <c r="F523" s="595"/>
      <c r="G523" s="595"/>
      <c r="H523" s="596"/>
      <c r="I523" s="597"/>
      <c r="J523" s="597" t="s">
        <v>134</v>
      </c>
      <c r="K523" s="671">
        <f>0.6*0.6*0.6</f>
        <v>0.216</v>
      </c>
      <c r="L523" s="658">
        <f>$N$16</f>
        <v>24970</v>
      </c>
      <c r="M523" s="658">
        <f t="shared" si="29"/>
        <v>5393.5199999999995</v>
      </c>
      <c r="N523" s="661"/>
    </row>
    <row r="524" spans="3:14" ht="12.75">
      <c r="C524" s="587"/>
      <c r="D524" s="587"/>
      <c r="E524" s="588" t="s">
        <v>111</v>
      </c>
      <c r="F524" s="595"/>
      <c r="G524" s="595"/>
      <c r="H524" s="596"/>
      <c r="I524" s="597"/>
      <c r="J524" s="597" t="s">
        <v>134</v>
      </c>
      <c r="K524" s="671">
        <v>0.08</v>
      </c>
      <c r="L524" s="658">
        <f>N20</f>
        <v>6800</v>
      </c>
      <c r="M524" s="658">
        <f t="shared" si="29"/>
        <v>544</v>
      </c>
      <c r="N524" s="661"/>
    </row>
    <row r="525" spans="3:14" ht="12.75">
      <c r="C525" s="587"/>
      <c r="D525" s="587"/>
      <c r="E525" s="588" t="s">
        <v>113</v>
      </c>
      <c r="F525" s="595"/>
      <c r="G525" s="595"/>
      <c r="H525" s="596"/>
      <c r="I525" s="597"/>
      <c r="J525" s="597" t="s">
        <v>134</v>
      </c>
      <c r="K525" s="671">
        <f>0.6*0.6*0.1</f>
        <v>0.036</v>
      </c>
      <c r="L525" s="658">
        <f>N27</f>
        <v>93400</v>
      </c>
      <c r="M525" s="658">
        <f t="shared" si="29"/>
        <v>3362.3999999999996</v>
      </c>
      <c r="N525" s="661"/>
    </row>
    <row r="526" spans="3:14" ht="12.75">
      <c r="C526" s="587"/>
      <c r="D526" s="587"/>
      <c r="E526" s="588" t="s">
        <v>115</v>
      </c>
      <c r="F526" s="595"/>
      <c r="G526" s="595"/>
      <c r="H526" s="596"/>
      <c r="I526" s="597"/>
      <c r="J526" s="597" t="s">
        <v>149</v>
      </c>
      <c r="K526" s="671">
        <f>0.6*0.4*4</f>
        <v>0.96</v>
      </c>
      <c r="L526" s="658">
        <f>N54</f>
        <v>53610.75</v>
      </c>
      <c r="M526" s="658">
        <f t="shared" si="29"/>
        <v>51466.32</v>
      </c>
      <c r="N526" s="661"/>
    </row>
    <row r="527" spans="3:14" ht="12.75">
      <c r="C527" s="587"/>
      <c r="D527" s="587"/>
      <c r="E527" s="588" t="s">
        <v>117</v>
      </c>
      <c r="F527" s="595"/>
      <c r="G527" s="595"/>
      <c r="H527" s="596"/>
      <c r="I527" s="597"/>
      <c r="J527" s="597" t="s">
        <v>149</v>
      </c>
      <c r="K527" s="671">
        <v>1.2</v>
      </c>
      <c r="L527" s="658">
        <f>N71</f>
        <v>21258</v>
      </c>
      <c r="M527" s="658">
        <f t="shared" si="29"/>
        <v>25509.6</v>
      </c>
      <c r="N527" s="670"/>
    </row>
    <row r="528" spans="3:14" ht="12.75">
      <c r="C528" s="587"/>
      <c r="D528" s="698"/>
      <c r="E528" s="588"/>
      <c r="F528" s="595"/>
      <c r="G528" s="590"/>
      <c r="H528" s="591"/>
      <c r="I528" s="592"/>
      <c r="J528" s="651"/>
      <c r="K528" s="594"/>
      <c r="L528" s="658"/>
      <c r="M528" s="658"/>
      <c r="N528" s="679"/>
    </row>
    <row r="529" spans="3:14" ht="12.75">
      <c r="C529" s="694">
        <f>+C522+1</f>
        <v>60</v>
      </c>
      <c r="D529" s="587"/>
      <c r="E529" s="691" t="s">
        <v>905</v>
      </c>
      <c r="F529" s="595"/>
      <c r="G529" s="595"/>
      <c r="H529" s="596"/>
      <c r="I529" s="597"/>
      <c r="J529" s="597"/>
      <c r="K529" s="599"/>
      <c r="L529" s="658"/>
      <c r="M529" s="658"/>
      <c r="N529" s="670">
        <f>SUM(M530:M536)</f>
        <v>23403726.9</v>
      </c>
    </row>
    <row r="530" spans="3:14" ht="12.75">
      <c r="C530" s="694"/>
      <c r="D530" s="587"/>
      <c r="E530" s="588" t="s">
        <v>806</v>
      </c>
      <c r="F530" s="589"/>
      <c r="G530" s="590"/>
      <c r="H530" s="591"/>
      <c r="I530" s="592"/>
      <c r="J530" s="593" t="s">
        <v>134</v>
      </c>
      <c r="K530" s="594">
        <v>0.35</v>
      </c>
      <c r="L530" s="658">
        <f>N27</f>
        <v>93400</v>
      </c>
      <c r="M530" s="658">
        <f aca="true" t="shared" si="32" ref="M530:M536">K530*L530</f>
        <v>32689.999999999996</v>
      </c>
      <c r="N530" s="670"/>
    </row>
    <row r="531" spans="3:14" ht="12.75">
      <c r="C531" s="694"/>
      <c r="D531" s="587"/>
      <c r="E531" s="588" t="s">
        <v>118</v>
      </c>
      <c r="F531" s="595"/>
      <c r="G531" s="595"/>
      <c r="H531" s="596"/>
      <c r="I531" s="597"/>
      <c r="J531" s="593" t="s">
        <v>134</v>
      </c>
      <c r="K531" s="598">
        <v>0.17</v>
      </c>
      <c r="L531" s="658">
        <f>$N$105</f>
        <v>467450</v>
      </c>
      <c r="M531" s="658">
        <f t="shared" si="32"/>
        <v>79466.5</v>
      </c>
      <c r="N531" s="670"/>
    </row>
    <row r="532" spans="3:14" ht="12.75">
      <c r="C532" s="694"/>
      <c r="D532" s="587"/>
      <c r="E532" s="588" t="s">
        <v>906</v>
      </c>
      <c r="F532" s="595"/>
      <c r="G532" s="590"/>
      <c r="H532" s="591"/>
      <c r="I532" s="592"/>
      <c r="J532" s="593" t="s">
        <v>134</v>
      </c>
      <c r="K532" s="598">
        <v>5.03</v>
      </c>
      <c r="L532" s="658">
        <f>$N$114</f>
        <v>590600</v>
      </c>
      <c r="M532" s="658">
        <f t="shared" si="32"/>
        <v>2970718</v>
      </c>
      <c r="N532" s="670"/>
    </row>
    <row r="533" spans="3:14" ht="12.75">
      <c r="C533" s="694"/>
      <c r="D533" s="587"/>
      <c r="E533" s="588" t="s">
        <v>887</v>
      </c>
      <c r="F533" s="595"/>
      <c r="G533" s="595"/>
      <c r="H533" s="596"/>
      <c r="I533" s="597"/>
      <c r="J533" s="597" t="s">
        <v>149</v>
      </c>
      <c r="K533" s="599">
        <v>31.75</v>
      </c>
      <c r="L533" s="658">
        <f>$N$163</f>
        <v>131461</v>
      </c>
      <c r="M533" s="658">
        <f t="shared" si="32"/>
        <v>4173886.75</v>
      </c>
      <c r="N533" s="670"/>
    </row>
    <row r="534" spans="3:14" ht="12.75">
      <c r="C534" s="694"/>
      <c r="D534" s="587"/>
      <c r="E534" s="588" t="s">
        <v>808</v>
      </c>
      <c r="F534" s="595"/>
      <c r="G534" s="595"/>
      <c r="H534" s="596"/>
      <c r="I534" s="597"/>
      <c r="J534" s="593" t="s">
        <v>148</v>
      </c>
      <c r="K534" s="599">
        <v>303.37</v>
      </c>
      <c r="L534" s="658">
        <f>$N$123</f>
        <v>10951</v>
      </c>
      <c r="M534" s="658">
        <f t="shared" si="32"/>
        <v>3322204.87</v>
      </c>
      <c r="N534" s="670"/>
    </row>
    <row r="535" spans="3:14" ht="12.75">
      <c r="C535" s="694"/>
      <c r="D535" s="587"/>
      <c r="E535" s="588" t="s">
        <v>117</v>
      </c>
      <c r="F535" s="595"/>
      <c r="G535" s="595"/>
      <c r="H535" s="596"/>
      <c r="I535" s="597"/>
      <c r="J535" s="597" t="s">
        <v>149</v>
      </c>
      <c r="K535" s="599">
        <v>52.91</v>
      </c>
      <c r="L535" s="658">
        <f>$N$71</f>
        <v>21258</v>
      </c>
      <c r="M535" s="658">
        <f t="shared" si="32"/>
        <v>1124760.78</v>
      </c>
      <c r="N535" s="670"/>
    </row>
    <row r="536" spans="3:14" ht="12.75">
      <c r="C536" s="694"/>
      <c r="D536" s="587"/>
      <c r="E536" s="588" t="s">
        <v>907</v>
      </c>
      <c r="F536" s="595"/>
      <c r="G536" s="595"/>
      <c r="H536" s="596"/>
      <c r="I536" s="597"/>
      <c r="J536" s="597" t="s">
        <v>161</v>
      </c>
      <c r="K536" s="599">
        <v>1</v>
      </c>
      <c r="L536" s="658">
        <f>9000000*1.3</f>
        <v>11700000</v>
      </c>
      <c r="M536" s="658">
        <f t="shared" si="32"/>
        <v>11700000</v>
      </c>
      <c r="N536" s="670"/>
    </row>
    <row r="537" spans="3:14" ht="12.75">
      <c r="C537" s="694"/>
      <c r="D537" s="698"/>
      <c r="E537" s="588"/>
      <c r="F537" s="595"/>
      <c r="G537" s="590"/>
      <c r="H537" s="591"/>
      <c r="I537" s="592"/>
      <c r="J537" s="651"/>
      <c r="K537" s="594"/>
      <c r="L537" s="658"/>
      <c r="M537" s="658"/>
      <c r="N537" s="679"/>
    </row>
    <row r="538" spans="3:16" ht="12.75">
      <c r="C538" s="694">
        <f>+C529+1</f>
        <v>61</v>
      </c>
      <c r="D538" s="587"/>
      <c r="E538" s="691" t="s">
        <v>805</v>
      </c>
      <c r="F538" s="595"/>
      <c r="G538" s="595"/>
      <c r="H538" s="596"/>
      <c r="I538" s="597"/>
      <c r="J538" s="597"/>
      <c r="K538" s="599"/>
      <c r="L538" s="658"/>
      <c r="M538" s="658"/>
      <c r="N538" s="670">
        <f>SUM(M539:M545)</f>
        <v>7753243.83</v>
      </c>
      <c r="O538" s="618" t="s">
        <v>1065</v>
      </c>
      <c r="P538" s="557" t="s">
        <v>1066</v>
      </c>
    </row>
    <row r="539" spans="3:20" ht="12.75">
      <c r="C539" s="694"/>
      <c r="D539" s="587"/>
      <c r="E539" s="588" t="s">
        <v>110</v>
      </c>
      <c r="F539" s="589"/>
      <c r="G539" s="590"/>
      <c r="H539" s="591"/>
      <c r="I539" s="592"/>
      <c r="J539" s="593" t="s">
        <v>134</v>
      </c>
      <c r="K539" s="594">
        <v>9.6</v>
      </c>
      <c r="L539" s="658">
        <f>$N$16</f>
        <v>24970</v>
      </c>
      <c r="M539" s="658">
        <f aca="true" t="shared" si="33" ref="M539:M583">K539*L539</f>
        <v>239712</v>
      </c>
      <c r="N539" s="670"/>
      <c r="O539" s="601">
        <v>2</v>
      </c>
      <c r="P539" s="601">
        <v>2</v>
      </c>
      <c r="Q539" s="601">
        <v>1.5</v>
      </c>
      <c r="R539" s="601">
        <v>1.5</v>
      </c>
      <c r="S539" s="619"/>
      <c r="T539" s="601"/>
    </row>
    <row r="540" spans="3:20" ht="12.75">
      <c r="C540" s="587"/>
      <c r="D540" s="587"/>
      <c r="E540" s="588" t="s">
        <v>906</v>
      </c>
      <c r="F540" s="595"/>
      <c r="G540" s="595"/>
      <c r="H540" s="596"/>
      <c r="I540" s="597"/>
      <c r="J540" s="593" t="s">
        <v>134</v>
      </c>
      <c r="K540" s="598">
        <v>2.43</v>
      </c>
      <c r="L540" s="658">
        <f>$N$114</f>
        <v>590600</v>
      </c>
      <c r="M540" s="658">
        <f t="shared" si="33"/>
        <v>1435158</v>
      </c>
      <c r="N540" s="670"/>
      <c r="O540" s="601">
        <v>1.5</v>
      </c>
      <c r="P540" s="601">
        <v>1.5</v>
      </c>
      <c r="Q540" s="601">
        <v>1.5</v>
      </c>
      <c r="R540" s="601">
        <v>1.7</v>
      </c>
      <c r="S540" s="619"/>
      <c r="T540" s="601"/>
    </row>
    <row r="541" spans="3:20" ht="12.75">
      <c r="C541" s="587"/>
      <c r="D541" s="587"/>
      <c r="E541" s="588" t="s">
        <v>806</v>
      </c>
      <c r="F541" s="595"/>
      <c r="G541" s="590"/>
      <c r="H541" s="591"/>
      <c r="I541" s="592"/>
      <c r="J541" s="593" t="s">
        <v>134</v>
      </c>
      <c r="K541" s="598">
        <v>0.3</v>
      </c>
      <c r="L541" s="658">
        <f>$N$27</f>
        <v>93400</v>
      </c>
      <c r="M541" s="658">
        <f t="shared" si="33"/>
        <v>28020</v>
      </c>
      <c r="N541" s="670"/>
      <c r="O541" s="601">
        <v>2</v>
      </c>
      <c r="P541" s="601">
        <v>0.15</v>
      </c>
      <c r="Q541" s="601">
        <v>0.15</v>
      </c>
      <c r="R541" s="601">
        <v>0.15</v>
      </c>
      <c r="S541" s="619"/>
      <c r="T541" s="601"/>
    </row>
    <row r="542" spans="3:20" ht="12.75">
      <c r="C542" s="587"/>
      <c r="D542" s="587"/>
      <c r="E542" s="588" t="s">
        <v>807</v>
      </c>
      <c r="F542" s="595"/>
      <c r="G542" s="595"/>
      <c r="H542" s="596"/>
      <c r="I542" s="597"/>
      <c r="J542" s="593" t="s">
        <v>134</v>
      </c>
      <c r="K542" s="599">
        <v>0.15</v>
      </c>
      <c r="L542" s="658">
        <f>$N$105</f>
        <v>467450</v>
      </c>
      <c r="M542" s="658">
        <f t="shared" si="33"/>
        <v>70117.5</v>
      </c>
      <c r="N542" s="670"/>
      <c r="O542" s="601"/>
      <c r="P542" s="601">
        <v>2</v>
      </c>
      <c r="Q542" s="601">
        <v>2</v>
      </c>
      <c r="R542" s="601">
        <v>2</v>
      </c>
      <c r="S542" s="619"/>
      <c r="T542" s="601"/>
    </row>
    <row r="543" spans="3:20" ht="12.75">
      <c r="C543" s="587"/>
      <c r="D543" s="587"/>
      <c r="E543" s="588" t="s">
        <v>808</v>
      </c>
      <c r="F543" s="595"/>
      <c r="G543" s="595"/>
      <c r="H543" s="596"/>
      <c r="I543" s="597"/>
      <c r="J543" s="593" t="s">
        <v>148</v>
      </c>
      <c r="K543" s="599">
        <v>208.68</v>
      </c>
      <c r="L543" s="658">
        <f>$N$123</f>
        <v>10951</v>
      </c>
      <c r="M543" s="658">
        <f t="shared" si="33"/>
        <v>2285254.68</v>
      </c>
      <c r="N543" s="670"/>
      <c r="O543" s="712">
        <f>O539*O540*O541</f>
        <v>6</v>
      </c>
      <c r="P543" s="601">
        <f>P539*P540*P541*P542</f>
        <v>0.8999999999999999</v>
      </c>
      <c r="Q543" s="601">
        <f>Q539*Q540*Q541*Q542</f>
        <v>0.6749999999999999</v>
      </c>
      <c r="R543" s="601">
        <f>R539*R540*R541*R542</f>
        <v>0.7649999999999999</v>
      </c>
      <c r="S543" s="619"/>
      <c r="T543" s="601"/>
    </row>
    <row r="544" spans="3:20" ht="12.75">
      <c r="C544" s="587"/>
      <c r="D544" s="587"/>
      <c r="E544" s="588" t="s">
        <v>887</v>
      </c>
      <c r="F544" s="595"/>
      <c r="G544" s="595"/>
      <c r="H544" s="596"/>
      <c r="I544" s="597"/>
      <c r="J544" s="593" t="s">
        <v>149</v>
      </c>
      <c r="K544" s="599">
        <v>19.95</v>
      </c>
      <c r="L544" s="658">
        <f>$N$163</f>
        <v>131461</v>
      </c>
      <c r="M544" s="658">
        <f t="shared" si="33"/>
        <v>2622646.9499999997</v>
      </c>
      <c r="N544" s="670"/>
      <c r="O544" s="601"/>
      <c r="P544" s="601"/>
      <c r="R544" s="601">
        <f>R543+Q543+P543</f>
        <v>2.34</v>
      </c>
      <c r="T544" s="601">
        <f>R544/0.15</f>
        <v>15.6</v>
      </c>
    </row>
    <row r="545" spans="3:16" ht="12.75">
      <c r="C545" s="587"/>
      <c r="D545" s="587"/>
      <c r="E545" s="588" t="s">
        <v>888</v>
      </c>
      <c r="F545" s="595"/>
      <c r="G545" s="595"/>
      <c r="H545" s="596"/>
      <c r="I545" s="597"/>
      <c r="J545" s="593" t="s">
        <v>149</v>
      </c>
      <c r="K545" s="599">
        <f>1.5*1.7+2*(1.5+1.7)*1.5</f>
        <v>12.150000000000002</v>
      </c>
      <c r="L545" s="658">
        <f>$N$258</f>
        <v>88258</v>
      </c>
      <c r="M545" s="658">
        <f t="shared" si="33"/>
        <v>1072334.7000000002</v>
      </c>
      <c r="N545" s="670"/>
      <c r="O545" s="601"/>
      <c r="P545" s="601"/>
    </row>
    <row r="546" spans="3:14" ht="12.75">
      <c r="C546" s="587"/>
      <c r="D546" s="698"/>
      <c r="E546" s="588"/>
      <c r="F546" s="595"/>
      <c r="G546" s="590"/>
      <c r="H546" s="591"/>
      <c r="I546" s="592"/>
      <c r="J546" s="651"/>
      <c r="K546" s="594"/>
      <c r="L546" s="658"/>
      <c r="M546" s="658"/>
      <c r="N546" s="679"/>
    </row>
    <row r="547" spans="3:14" ht="12.75">
      <c r="C547" s="694">
        <f>C538+1</f>
        <v>62</v>
      </c>
      <c r="D547" s="587"/>
      <c r="E547" s="691" t="s">
        <v>810</v>
      </c>
      <c r="F547" s="595"/>
      <c r="G547" s="595"/>
      <c r="H547" s="596"/>
      <c r="I547" s="597"/>
      <c r="J547" s="597"/>
      <c r="K547" s="599"/>
      <c r="L547" s="658"/>
      <c r="M547" s="658"/>
      <c r="N547" s="670">
        <f>SUM(M548:M560)</f>
        <v>15767180.21</v>
      </c>
    </row>
    <row r="548" spans="3:14" ht="12.75">
      <c r="C548" s="587"/>
      <c r="D548" s="587"/>
      <c r="E548" s="588" t="s">
        <v>110</v>
      </c>
      <c r="F548" s="589"/>
      <c r="G548" s="590"/>
      <c r="H548" s="591"/>
      <c r="I548" s="592"/>
      <c r="J548" s="593" t="s">
        <v>134</v>
      </c>
      <c r="K548" s="594">
        <v>4</v>
      </c>
      <c r="L548" s="658">
        <f>$N$16</f>
        <v>24970</v>
      </c>
      <c r="M548" s="658">
        <f t="shared" si="33"/>
        <v>99880</v>
      </c>
      <c r="N548" s="670"/>
    </row>
    <row r="549" spans="3:14" ht="12.75">
      <c r="C549" s="587"/>
      <c r="D549" s="587"/>
      <c r="E549" s="588" t="s">
        <v>811</v>
      </c>
      <c r="F549" s="589"/>
      <c r="G549" s="590"/>
      <c r="H549" s="591"/>
      <c r="I549" s="592"/>
      <c r="J549" s="593" t="s">
        <v>134</v>
      </c>
      <c r="K549" s="594">
        <v>2</v>
      </c>
      <c r="L549" s="658">
        <f>$N$20</f>
        <v>6800</v>
      </c>
      <c r="M549" s="658">
        <f t="shared" si="33"/>
        <v>13600</v>
      </c>
      <c r="N549" s="670"/>
    </row>
    <row r="550" spans="3:14" ht="12.75">
      <c r="C550" s="587"/>
      <c r="D550" s="587"/>
      <c r="E550" s="588" t="s">
        <v>806</v>
      </c>
      <c r="F550" s="589"/>
      <c r="G550" s="590"/>
      <c r="H550" s="591"/>
      <c r="I550" s="592"/>
      <c r="J550" s="593" t="s">
        <v>134</v>
      </c>
      <c r="K550" s="594">
        <v>0.51</v>
      </c>
      <c r="L550" s="658">
        <f>$N$27</f>
        <v>93400</v>
      </c>
      <c r="M550" s="658">
        <f t="shared" si="33"/>
        <v>47634</v>
      </c>
      <c r="N550" s="670"/>
    </row>
    <row r="551" spans="3:14" ht="12.75">
      <c r="C551" s="587"/>
      <c r="D551" s="587"/>
      <c r="E551" s="588" t="s">
        <v>906</v>
      </c>
      <c r="F551" s="595"/>
      <c r="G551" s="595"/>
      <c r="H551" s="596"/>
      <c r="I551" s="597"/>
      <c r="J551" s="593" t="s">
        <v>149</v>
      </c>
      <c r="K551" s="598">
        <v>2.53</v>
      </c>
      <c r="L551" s="658">
        <f>$N$114</f>
        <v>590600</v>
      </c>
      <c r="M551" s="658">
        <f t="shared" si="33"/>
        <v>1494218</v>
      </c>
      <c r="N551" s="670"/>
    </row>
    <row r="552" spans="3:14" ht="12.75">
      <c r="C552" s="587"/>
      <c r="D552" s="587"/>
      <c r="E552" s="588" t="s">
        <v>812</v>
      </c>
      <c r="F552" s="595"/>
      <c r="G552" s="590"/>
      <c r="H552" s="591"/>
      <c r="I552" s="592"/>
      <c r="J552" s="593" t="s">
        <v>148</v>
      </c>
      <c r="K552" s="598">
        <v>7.48</v>
      </c>
      <c r="L552" s="658">
        <f>$N$54</f>
        <v>53610.75</v>
      </c>
      <c r="M552" s="658">
        <f t="shared" si="33"/>
        <v>401008.41000000003</v>
      </c>
      <c r="N552" s="670"/>
    </row>
    <row r="553" spans="3:14" ht="12.75">
      <c r="C553" s="587"/>
      <c r="D553" s="587"/>
      <c r="E553" s="588" t="s">
        <v>813</v>
      </c>
      <c r="F553" s="595"/>
      <c r="G553" s="590"/>
      <c r="H553" s="591"/>
      <c r="I553" s="592"/>
      <c r="J553" s="593" t="s">
        <v>149</v>
      </c>
      <c r="K553" s="598">
        <v>42.72</v>
      </c>
      <c r="L553" s="658">
        <f>$N$71</f>
        <v>21258</v>
      </c>
      <c r="M553" s="658">
        <f t="shared" si="33"/>
        <v>908141.76</v>
      </c>
      <c r="N553" s="670"/>
    </row>
    <row r="554" spans="3:14" ht="12.75">
      <c r="C554" s="587"/>
      <c r="D554" s="587"/>
      <c r="E554" s="588" t="s">
        <v>814</v>
      </c>
      <c r="F554" s="595"/>
      <c r="G554" s="590"/>
      <c r="H554" s="591"/>
      <c r="I554" s="592"/>
      <c r="J554" s="593" t="s">
        <v>153</v>
      </c>
      <c r="K554" s="598">
        <v>156</v>
      </c>
      <c r="L554" s="658">
        <f>$N$103</f>
        <v>5422.4</v>
      </c>
      <c r="M554" s="658">
        <f t="shared" si="33"/>
        <v>845894.3999999999</v>
      </c>
      <c r="N554" s="670"/>
    </row>
    <row r="555" spans="3:14" ht="12.75">
      <c r="C555" s="587"/>
      <c r="D555" s="587"/>
      <c r="E555" s="588" t="s">
        <v>807</v>
      </c>
      <c r="F555" s="595"/>
      <c r="G555" s="595"/>
      <c r="H555" s="596"/>
      <c r="I555" s="597"/>
      <c r="J555" s="593" t="s">
        <v>134</v>
      </c>
      <c r="K555" s="599">
        <v>0.26</v>
      </c>
      <c r="L555" s="658">
        <f>$N$105</f>
        <v>467450</v>
      </c>
      <c r="M555" s="658">
        <f t="shared" si="33"/>
        <v>121537</v>
      </c>
      <c r="N555" s="670"/>
    </row>
    <row r="556" spans="3:14" ht="12.75">
      <c r="C556" s="587"/>
      <c r="D556" s="587"/>
      <c r="E556" s="588" t="s">
        <v>808</v>
      </c>
      <c r="F556" s="595"/>
      <c r="G556" s="595"/>
      <c r="H556" s="596"/>
      <c r="I556" s="597"/>
      <c r="J556" s="597" t="s">
        <v>148</v>
      </c>
      <c r="K556" s="599">
        <v>252.22</v>
      </c>
      <c r="L556" s="658">
        <f>$N$123</f>
        <v>10951</v>
      </c>
      <c r="M556" s="658">
        <f t="shared" si="33"/>
        <v>2762061.22</v>
      </c>
      <c r="N556" s="670"/>
    </row>
    <row r="557" spans="3:14" ht="12.75">
      <c r="C557" s="587"/>
      <c r="D557" s="587"/>
      <c r="E557" s="588" t="s">
        <v>815</v>
      </c>
      <c r="F557" s="595"/>
      <c r="G557" s="595"/>
      <c r="H557" s="596"/>
      <c r="I557" s="597"/>
      <c r="J557" s="597" t="s">
        <v>153</v>
      </c>
      <c r="K557" s="599">
        <v>12.8</v>
      </c>
      <c r="L557" s="658">
        <v>50000</v>
      </c>
      <c r="M557" s="658">
        <f t="shared" si="33"/>
        <v>640000</v>
      </c>
      <c r="N557" s="670"/>
    </row>
    <row r="558" spans="3:14" ht="12.75">
      <c r="C558" s="587"/>
      <c r="D558" s="587"/>
      <c r="E558" s="588" t="s">
        <v>816</v>
      </c>
      <c r="F558" s="595"/>
      <c r="G558" s="595"/>
      <c r="H558" s="596"/>
      <c r="I558" s="597"/>
      <c r="J558" s="597" t="s">
        <v>153</v>
      </c>
      <c r="K558" s="599">
        <v>6</v>
      </c>
      <c r="L558" s="658">
        <v>20000</v>
      </c>
      <c r="M558" s="658">
        <f t="shared" si="33"/>
        <v>120000</v>
      </c>
      <c r="N558" s="670"/>
    </row>
    <row r="559" spans="3:14" ht="12.75">
      <c r="C559" s="587"/>
      <c r="D559" s="587"/>
      <c r="E559" s="588" t="s">
        <v>809</v>
      </c>
      <c r="F559" s="595"/>
      <c r="G559" s="595"/>
      <c r="H559" s="596"/>
      <c r="I559" s="597"/>
      <c r="J559" s="593" t="s">
        <v>149</v>
      </c>
      <c r="K559" s="599">
        <v>44.22</v>
      </c>
      <c r="L559" s="658">
        <f>$N$163</f>
        <v>131461</v>
      </c>
      <c r="M559" s="658">
        <f t="shared" si="33"/>
        <v>5813205.42</v>
      </c>
      <c r="N559" s="670"/>
    </row>
    <row r="560" spans="3:14" ht="12.75">
      <c r="C560" s="587"/>
      <c r="D560" s="587"/>
      <c r="E560" s="588" t="s">
        <v>817</v>
      </c>
      <c r="F560" s="595"/>
      <c r="G560" s="595"/>
      <c r="H560" s="596"/>
      <c r="I560" s="597"/>
      <c r="J560" s="597" t="s">
        <v>161</v>
      </c>
      <c r="K560" s="599">
        <v>1</v>
      </c>
      <c r="L560" s="658">
        <v>2500000</v>
      </c>
      <c r="M560" s="658">
        <f t="shared" si="33"/>
        <v>2500000</v>
      </c>
      <c r="N560" s="670"/>
    </row>
    <row r="561" spans="3:14" ht="12.75">
      <c r="C561" s="587"/>
      <c r="D561" s="698"/>
      <c r="E561" s="588"/>
      <c r="F561" s="595"/>
      <c r="G561" s="590"/>
      <c r="H561" s="591"/>
      <c r="I561" s="592"/>
      <c r="J561" s="651"/>
      <c r="K561" s="594"/>
      <c r="L561" s="658"/>
      <c r="M561" s="658"/>
      <c r="N561" s="679"/>
    </row>
    <row r="562" spans="3:14" ht="12.75">
      <c r="C562" s="694">
        <f>+C547+1</f>
        <v>63</v>
      </c>
      <c r="D562" s="698"/>
      <c r="E562" s="687" t="s">
        <v>1045</v>
      </c>
      <c r="F562" s="595"/>
      <c r="G562" s="590"/>
      <c r="H562" s="591"/>
      <c r="I562" s="592"/>
      <c r="J562" s="651"/>
      <c r="K562" s="594"/>
      <c r="L562" s="658"/>
      <c r="M562" s="658"/>
      <c r="N562" s="679">
        <f>SUM(M563:M570)</f>
        <v>1450052.01</v>
      </c>
    </row>
    <row r="563" spans="3:14" ht="12.75">
      <c r="C563" s="587"/>
      <c r="D563" s="587"/>
      <c r="E563" s="588" t="s">
        <v>110</v>
      </c>
      <c r="F563" s="589"/>
      <c r="G563" s="590"/>
      <c r="H563" s="591"/>
      <c r="I563" s="592"/>
      <c r="J563" s="593" t="s">
        <v>134</v>
      </c>
      <c r="K563" s="594">
        <v>6.76</v>
      </c>
      <c r="L563" s="658">
        <f>$N$16</f>
        <v>24970</v>
      </c>
      <c r="M563" s="658">
        <f aca="true" t="shared" si="34" ref="M563:M570">K563*L563</f>
        <v>168797.19999999998</v>
      </c>
      <c r="N563" s="679"/>
    </row>
    <row r="564" spans="3:14" ht="12.75">
      <c r="C564" s="587"/>
      <c r="D564" s="698"/>
      <c r="E564" s="588" t="s">
        <v>1038</v>
      </c>
      <c r="F564" s="595"/>
      <c r="G564" s="590"/>
      <c r="H564" s="591"/>
      <c r="I564" s="592"/>
      <c r="J564" s="593" t="s">
        <v>134</v>
      </c>
      <c r="K564" s="594">
        <v>0.7</v>
      </c>
      <c r="L564" s="658">
        <f>Bhn!M41</f>
        <v>160000</v>
      </c>
      <c r="M564" s="658">
        <f t="shared" si="34"/>
        <v>112000</v>
      </c>
      <c r="N564" s="679"/>
    </row>
    <row r="565" spans="3:14" ht="12.75">
      <c r="C565" s="587"/>
      <c r="D565" s="698"/>
      <c r="E565" s="588" t="s">
        <v>1039</v>
      </c>
      <c r="F565" s="595"/>
      <c r="G565" s="590"/>
      <c r="H565" s="591"/>
      <c r="I565" s="592"/>
      <c r="J565" s="593" t="s">
        <v>134</v>
      </c>
      <c r="K565" s="594">
        <v>1.2</v>
      </c>
      <c r="L565" s="658">
        <f>N46</f>
        <v>201120</v>
      </c>
      <c r="M565" s="658">
        <f t="shared" si="34"/>
        <v>241344</v>
      </c>
      <c r="N565" s="679"/>
    </row>
    <row r="566" spans="3:14" ht="12.75">
      <c r="C566" s="587"/>
      <c r="D566" s="698"/>
      <c r="E566" s="588" t="s">
        <v>1040</v>
      </c>
      <c r="F566" s="595"/>
      <c r="G566" s="590"/>
      <c r="H566" s="591"/>
      <c r="I566" s="592"/>
      <c r="J566" s="593" t="s">
        <v>149</v>
      </c>
      <c r="K566" s="594">
        <v>2.8</v>
      </c>
      <c r="L566" s="658">
        <v>10000</v>
      </c>
      <c r="M566" s="658">
        <f t="shared" si="34"/>
        <v>28000</v>
      </c>
      <c r="N566" s="679"/>
    </row>
    <row r="567" spans="3:14" ht="12.75">
      <c r="C567" s="587"/>
      <c r="D567" s="698"/>
      <c r="E567" s="588" t="s">
        <v>1041</v>
      </c>
      <c r="F567" s="595"/>
      <c r="G567" s="590"/>
      <c r="H567" s="591"/>
      <c r="I567" s="592"/>
      <c r="J567" s="593" t="s">
        <v>153</v>
      </c>
      <c r="K567" s="594">
        <v>2</v>
      </c>
      <c r="L567" s="658">
        <v>150000</v>
      </c>
      <c r="M567" s="658">
        <f t="shared" si="34"/>
        <v>300000</v>
      </c>
      <c r="N567" s="679"/>
    </row>
    <row r="568" spans="3:14" ht="12.75">
      <c r="C568" s="587"/>
      <c r="D568" s="698"/>
      <c r="E568" s="588" t="s">
        <v>1042</v>
      </c>
      <c r="F568" s="595"/>
      <c r="G568" s="590"/>
      <c r="H568" s="591"/>
      <c r="I568" s="592"/>
      <c r="J568" s="593" t="s">
        <v>149</v>
      </c>
      <c r="K568" s="594">
        <v>3</v>
      </c>
      <c r="L568" s="658">
        <f>N54</f>
        <v>53610.75</v>
      </c>
      <c r="M568" s="658">
        <f t="shared" si="34"/>
        <v>160832.25</v>
      </c>
      <c r="N568" s="679"/>
    </row>
    <row r="569" spans="3:14" ht="12.75">
      <c r="C569" s="587"/>
      <c r="D569" s="698"/>
      <c r="E569" s="588" t="s">
        <v>1044</v>
      </c>
      <c r="F569" s="595"/>
      <c r="G569" s="590"/>
      <c r="H569" s="591"/>
      <c r="I569" s="592"/>
      <c r="J569" s="593" t="s">
        <v>149</v>
      </c>
      <c r="K569" s="594">
        <v>3</v>
      </c>
      <c r="L569" s="658">
        <f>N71</f>
        <v>21258</v>
      </c>
      <c r="M569" s="658">
        <f t="shared" si="34"/>
        <v>63774</v>
      </c>
      <c r="N569" s="679"/>
    </row>
    <row r="570" spans="3:14" ht="12.75">
      <c r="C570" s="587"/>
      <c r="D570" s="698"/>
      <c r="E570" s="588" t="s">
        <v>1043</v>
      </c>
      <c r="F570" s="595"/>
      <c r="G570" s="590"/>
      <c r="H570" s="591"/>
      <c r="I570" s="592"/>
      <c r="J570" s="593" t="s">
        <v>134</v>
      </c>
      <c r="K570" s="594">
        <v>0.12</v>
      </c>
      <c r="L570" s="658">
        <f>N679</f>
        <v>3127538</v>
      </c>
      <c r="M570" s="658">
        <f t="shared" si="34"/>
        <v>375304.56</v>
      </c>
      <c r="N570" s="679"/>
    </row>
    <row r="571" spans="3:14" ht="12.75">
      <c r="C571" s="694">
        <f>+C562+1</f>
        <v>64</v>
      </c>
      <c r="D571" s="587"/>
      <c r="E571" s="691" t="s">
        <v>928</v>
      </c>
      <c r="F571" s="595"/>
      <c r="G571" s="595"/>
      <c r="H571" s="596"/>
      <c r="I571" s="597"/>
      <c r="J571" s="597"/>
      <c r="K571" s="599"/>
      <c r="L571" s="658"/>
      <c r="M571" s="658"/>
      <c r="N571" s="670">
        <f>SUM(M572:M583)</f>
        <v>5261529.325</v>
      </c>
    </row>
    <row r="572" spans="3:14" ht="12.75">
      <c r="C572" s="587"/>
      <c r="D572" s="587"/>
      <c r="E572" s="588" t="s">
        <v>110</v>
      </c>
      <c r="F572" s="589"/>
      <c r="G572" s="590"/>
      <c r="H572" s="591"/>
      <c r="I572" s="592"/>
      <c r="J572" s="593" t="s">
        <v>134</v>
      </c>
      <c r="K572" s="594">
        <v>15.8</v>
      </c>
      <c r="L572" s="658">
        <f>$N$16</f>
        <v>24970</v>
      </c>
      <c r="M572" s="658">
        <f t="shared" si="33"/>
        <v>394526</v>
      </c>
      <c r="N572" s="670"/>
    </row>
    <row r="573" spans="3:14" ht="12.75">
      <c r="C573" s="587"/>
      <c r="D573" s="587"/>
      <c r="E573" s="588" t="s">
        <v>811</v>
      </c>
      <c r="F573" s="589"/>
      <c r="G573" s="590"/>
      <c r="H573" s="591"/>
      <c r="I573" s="592"/>
      <c r="J573" s="593"/>
      <c r="K573" s="594">
        <v>1.25</v>
      </c>
      <c r="L573" s="658">
        <f>$N$20</f>
        <v>6800</v>
      </c>
      <c r="M573" s="658">
        <f t="shared" si="33"/>
        <v>8500</v>
      </c>
      <c r="N573" s="670"/>
    </row>
    <row r="574" spans="3:14" ht="12.75">
      <c r="C574" s="587"/>
      <c r="D574" s="587"/>
      <c r="E574" s="588" t="s">
        <v>806</v>
      </c>
      <c r="F574" s="589"/>
      <c r="G574" s="590"/>
      <c r="H574" s="591"/>
      <c r="I574" s="592"/>
      <c r="J574" s="593"/>
      <c r="K574" s="594">
        <v>0.51</v>
      </c>
      <c r="L574" s="658">
        <f>$N$27</f>
        <v>93400</v>
      </c>
      <c r="M574" s="658">
        <f t="shared" si="33"/>
        <v>47634</v>
      </c>
      <c r="N574" s="670"/>
    </row>
    <row r="575" spans="3:14" ht="12.75">
      <c r="C575" s="587"/>
      <c r="D575" s="587"/>
      <c r="E575" s="588" t="s">
        <v>818</v>
      </c>
      <c r="F575" s="589"/>
      <c r="G575" s="590"/>
      <c r="H575" s="591"/>
      <c r="I575" s="592"/>
      <c r="J575" s="593"/>
      <c r="K575" s="594">
        <v>2.33</v>
      </c>
      <c r="L575" s="658">
        <f>N46</f>
        <v>201120</v>
      </c>
      <c r="M575" s="658">
        <f t="shared" si="33"/>
        <v>468609.60000000003</v>
      </c>
      <c r="N575" s="670"/>
    </row>
    <row r="576" spans="3:14" ht="12.75">
      <c r="C576" s="587"/>
      <c r="D576" s="587"/>
      <c r="E576" s="588" t="s">
        <v>889</v>
      </c>
      <c r="F576" s="595"/>
      <c r="G576" s="590"/>
      <c r="H576" s="591"/>
      <c r="I576" s="592"/>
      <c r="J576" s="593" t="s">
        <v>148</v>
      </c>
      <c r="K576" s="598">
        <v>14.34</v>
      </c>
      <c r="L576" s="658">
        <f>N54</f>
        <v>53610.75</v>
      </c>
      <c r="M576" s="658">
        <f t="shared" si="33"/>
        <v>768778.155</v>
      </c>
      <c r="N576" s="670"/>
    </row>
    <row r="577" spans="3:14" ht="12.75">
      <c r="C577" s="587"/>
      <c r="D577" s="587"/>
      <c r="E577" s="588" t="s">
        <v>813</v>
      </c>
      <c r="F577" s="595"/>
      <c r="G577" s="590"/>
      <c r="H577" s="591"/>
      <c r="I577" s="592"/>
      <c r="J577" s="593"/>
      <c r="K577" s="598">
        <v>16.2</v>
      </c>
      <c r="L577" s="658">
        <f>$N$71</f>
        <v>21258</v>
      </c>
      <c r="M577" s="658">
        <f t="shared" si="33"/>
        <v>344379.6</v>
      </c>
      <c r="N577" s="670"/>
    </row>
    <row r="578" spans="3:14" ht="12.75">
      <c r="C578" s="587"/>
      <c r="D578" s="587"/>
      <c r="E578" s="588" t="s">
        <v>819</v>
      </c>
      <c r="F578" s="595"/>
      <c r="G578" s="590"/>
      <c r="H578" s="591"/>
      <c r="I578" s="592"/>
      <c r="J578" s="593"/>
      <c r="K578" s="598">
        <v>25</v>
      </c>
      <c r="L578" s="658">
        <v>10000</v>
      </c>
      <c r="M578" s="658">
        <f t="shared" si="33"/>
        <v>250000</v>
      </c>
      <c r="N578" s="670"/>
    </row>
    <row r="579" spans="3:14" ht="12.75">
      <c r="C579" s="587"/>
      <c r="D579" s="587"/>
      <c r="E579" s="588" t="s">
        <v>820</v>
      </c>
      <c r="F579" s="595"/>
      <c r="G579" s="595"/>
      <c r="H579" s="596"/>
      <c r="I579" s="597"/>
      <c r="J579" s="597" t="s">
        <v>177</v>
      </c>
      <c r="K579" s="599">
        <v>0.42</v>
      </c>
      <c r="L579" s="648">
        <f>$N$679</f>
        <v>3127538</v>
      </c>
      <c r="M579" s="658">
        <f t="shared" si="33"/>
        <v>1313565.96</v>
      </c>
      <c r="N579" s="670"/>
    </row>
    <row r="580" spans="3:14" ht="12.75">
      <c r="C580" s="587"/>
      <c r="D580" s="587"/>
      <c r="E580" s="588" t="s">
        <v>808</v>
      </c>
      <c r="F580" s="595"/>
      <c r="G580" s="595"/>
      <c r="H580" s="596"/>
      <c r="I580" s="597"/>
      <c r="J580" s="597"/>
      <c r="K580" s="599">
        <v>76.63</v>
      </c>
      <c r="L580" s="658">
        <f>L556</f>
        <v>10951</v>
      </c>
      <c r="M580" s="658">
        <f t="shared" si="33"/>
        <v>839175.13</v>
      </c>
      <c r="N580" s="670"/>
    </row>
    <row r="581" spans="3:14" ht="12.75">
      <c r="C581" s="587"/>
      <c r="D581" s="587"/>
      <c r="E581" s="588" t="s">
        <v>821</v>
      </c>
      <c r="F581" s="595"/>
      <c r="G581" s="595"/>
      <c r="H581" s="596"/>
      <c r="I581" s="597"/>
      <c r="J581" s="597"/>
      <c r="K581" s="599">
        <v>8</v>
      </c>
      <c r="L581" s="658">
        <v>30000</v>
      </c>
      <c r="M581" s="658">
        <f t="shared" si="33"/>
        <v>240000</v>
      </c>
      <c r="N581" s="670"/>
    </row>
    <row r="582" spans="3:14" ht="12.75">
      <c r="C582" s="587"/>
      <c r="D582" s="587"/>
      <c r="E582" s="588" t="s">
        <v>822</v>
      </c>
      <c r="F582" s="595"/>
      <c r="G582" s="595"/>
      <c r="H582" s="596"/>
      <c r="I582" s="597"/>
      <c r="J582" s="597"/>
      <c r="K582" s="599">
        <v>2</v>
      </c>
      <c r="L582" s="658">
        <v>25000</v>
      </c>
      <c r="M582" s="658">
        <f t="shared" si="33"/>
        <v>50000</v>
      </c>
      <c r="N582" s="670"/>
    </row>
    <row r="583" spans="3:14" ht="12.75">
      <c r="C583" s="587"/>
      <c r="D583" s="587"/>
      <c r="E583" s="588" t="s">
        <v>809</v>
      </c>
      <c r="F583" s="595"/>
      <c r="G583" s="595"/>
      <c r="H583" s="596"/>
      <c r="I583" s="597"/>
      <c r="J583" s="597"/>
      <c r="K583" s="599">
        <v>4.08</v>
      </c>
      <c r="L583" s="658">
        <f>L559</f>
        <v>131461</v>
      </c>
      <c r="M583" s="658">
        <f t="shared" si="33"/>
        <v>536360.88</v>
      </c>
      <c r="N583" s="670"/>
    </row>
    <row r="584" spans="3:14" ht="12.75">
      <c r="C584" s="752">
        <f>+C571+1</f>
        <v>65</v>
      </c>
      <c r="D584" s="699"/>
      <c r="E584" s="691" t="s">
        <v>723</v>
      </c>
      <c r="F584" s="595"/>
      <c r="G584" s="595"/>
      <c r="H584" s="596"/>
      <c r="I584" s="653"/>
      <c r="J584" s="592"/>
      <c r="K584" s="656"/>
      <c r="L584" s="656"/>
      <c r="M584" s="656"/>
      <c r="N584" s="657">
        <f>SUM(M585:M588)</f>
        <v>12950095.3</v>
      </c>
    </row>
    <row r="585" spans="3:14" ht="12.75">
      <c r="C585" s="753"/>
      <c r="D585" s="699"/>
      <c r="E585" s="588" t="s">
        <v>908</v>
      </c>
      <c r="F585" s="595"/>
      <c r="G585" s="595"/>
      <c r="H585" s="596"/>
      <c r="I585" s="653"/>
      <c r="J585" s="592" t="s">
        <v>149</v>
      </c>
      <c r="K585" s="656">
        <f>3.45*3</f>
        <v>10.350000000000001</v>
      </c>
      <c r="L585" s="656">
        <f>N226</f>
        <v>135758</v>
      </c>
      <c r="M585" s="656">
        <f>L585*K585</f>
        <v>1405095.3000000003</v>
      </c>
      <c r="N585" s="656"/>
    </row>
    <row r="586" spans="3:14" ht="12.75">
      <c r="C586" s="753"/>
      <c r="D586" s="699"/>
      <c r="E586" s="595" t="s">
        <v>724</v>
      </c>
      <c r="F586" s="595"/>
      <c r="G586" s="595"/>
      <c r="H586" s="596"/>
      <c r="I586" s="653"/>
      <c r="J586" s="592" t="s">
        <v>149</v>
      </c>
      <c r="K586" s="656">
        <f>3*2.4</f>
        <v>7.199999999999999</v>
      </c>
      <c r="L586" s="656">
        <v>100000</v>
      </c>
      <c r="M586" s="656">
        <f>L586*K586</f>
        <v>719999.9999999999</v>
      </c>
      <c r="N586" s="656"/>
    </row>
    <row r="587" spans="3:14" ht="12.75">
      <c r="C587" s="753"/>
      <c r="D587" s="699"/>
      <c r="E587" s="595" t="s">
        <v>725</v>
      </c>
      <c r="F587" s="595"/>
      <c r="G587" s="595"/>
      <c r="H587" s="596"/>
      <c r="I587" s="653"/>
      <c r="J587" s="592" t="s">
        <v>153</v>
      </c>
      <c r="K587" s="656">
        <v>6</v>
      </c>
      <c r="L587" s="656">
        <v>1750000</v>
      </c>
      <c r="M587" s="656">
        <f>L587*K587</f>
        <v>10500000</v>
      </c>
      <c r="N587" s="656"/>
    </row>
    <row r="588" spans="1:14" ht="12.75">
      <c r="A588" s="557" t="s">
        <v>699</v>
      </c>
      <c r="C588" s="753"/>
      <c r="D588" s="699"/>
      <c r="E588" s="595" t="s">
        <v>1099</v>
      </c>
      <c r="F588" s="595"/>
      <c r="G588" s="595"/>
      <c r="H588" s="596"/>
      <c r="I588" s="653"/>
      <c r="J588" s="592" t="s">
        <v>139</v>
      </c>
      <c r="K588" s="656">
        <v>1</v>
      </c>
      <c r="L588" s="656">
        <f>250000*1.3</f>
        <v>325000</v>
      </c>
      <c r="M588" s="656">
        <f>L588*K588</f>
        <v>325000</v>
      </c>
      <c r="N588" s="656"/>
    </row>
    <row r="589" spans="3:14" ht="12.75">
      <c r="C589" s="753"/>
      <c r="D589" s="699"/>
      <c r="E589" s="595"/>
      <c r="F589" s="595"/>
      <c r="G589" s="595"/>
      <c r="H589" s="596"/>
      <c r="I589" s="653"/>
      <c r="J589" s="592"/>
      <c r="K589" s="656"/>
      <c r="L589" s="656"/>
      <c r="M589" s="656"/>
      <c r="N589" s="656"/>
    </row>
    <row r="590" spans="3:14" ht="12.75">
      <c r="C590" s="754">
        <f>+C584+1</f>
        <v>66</v>
      </c>
      <c r="D590" s="699"/>
      <c r="E590" s="691" t="s">
        <v>790</v>
      </c>
      <c r="F590" s="595"/>
      <c r="G590" s="595"/>
      <c r="H590" s="596"/>
      <c r="I590" s="653"/>
      <c r="J590" s="592"/>
      <c r="K590" s="656"/>
      <c r="L590" s="656"/>
      <c r="M590" s="656"/>
      <c r="N590" s="657">
        <f>SUM(M591:M595)</f>
        <v>1528695.4159999997</v>
      </c>
    </row>
    <row r="591" spans="3:14" ht="12.75">
      <c r="C591" s="753"/>
      <c r="D591" s="699"/>
      <c r="E591" s="595" t="s">
        <v>789</v>
      </c>
      <c r="F591" s="595"/>
      <c r="G591" s="595"/>
      <c r="H591" s="596"/>
      <c r="I591" s="653"/>
      <c r="J591" s="592" t="s">
        <v>161</v>
      </c>
      <c r="K591" s="656">
        <v>1</v>
      </c>
      <c r="L591" s="656">
        <v>1150000</v>
      </c>
      <c r="M591" s="656">
        <f>L591*K591</f>
        <v>1150000</v>
      </c>
      <c r="N591" s="656"/>
    </row>
    <row r="592" spans="3:14" ht="12.75">
      <c r="C592" s="753"/>
      <c r="D592" s="699"/>
      <c r="E592" s="595" t="s">
        <v>909</v>
      </c>
      <c r="F592" s="595"/>
      <c r="G592" s="595"/>
      <c r="H592" s="596"/>
      <c r="I592" s="653"/>
      <c r="J592" s="592" t="s">
        <v>134</v>
      </c>
      <c r="K592" s="656">
        <v>0.25</v>
      </c>
      <c r="L592" s="656">
        <f>N114</f>
        <v>590600</v>
      </c>
      <c r="M592" s="656">
        <f>L592*K592</f>
        <v>147650</v>
      </c>
      <c r="N592" s="656"/>
    </row>
    <row r="593" spans="3:14" ht="12.75">
      <c r="C593" s="753"/>
      <c r="D593" s="699"/>
      <c r="E593" s="700" t="s">
        <v>910</v>
      </c>
      <c r="F593" s="595"/>
      <c r="G593" s="595"/>
      <c r="H593" s="596"/>
      <c r="I593" s="653"/>
      <c r="J593" s="592" t="s">
        <v>149</v>
      </c>
      <c r="K593" s="656">
        <v>0.84</v>
      </c>
      <c r="L593" s="648">
        <f>N306</f>
        <v>167329</v>
      </c>
      <c r="M593" s="656">
        <f>L593*K593</f>
        <v>140556.36</v>
      </c>
      <c r="N593" s="656"/>
    </row>
    <row r="594" spans="3:14" ht="12.75">
      <c r="C594" s="753"/>
      <c r="D594" s="699"/>
      <c r="E594" s="700" t="s">
        <v>911</v>
      </c>
      <c r="F594" s="595"/>
      <c r="G594" s="595"/>
      <c r="H594" s="596"/>
      <c r="I594" s="653"/>
      <c r="J594" s="592" t="s">
        <v>149</v>
      </c>
      <c r="K594" s="656">
        <v>0.48</v>
      </c>
      <c r="L594" s="648">
        <f>N315</f>
        <v>182329</v>
      </c>
      <c r="M594" s="656">
        <f>L594*K594</f>
        <v>87517.92</v>
      </c>
      <c r="N594" s="656"/>
    </row>
    <row r="595" spans="3:14" ht="12.75">
      <c r="C595" s="753"/>
      <c r="D595" s="699"/>
      <c r="E595" s="588" t="s">
        <v>6</v>
      </c>
      <c r="F595" s="595"/>
      <c r="G595" s="595"/>
      <c r="H595" s="596"/>
      <c r="I595" s="653"/>
      <c r="J595" s="592" t="s">
        <v>149</v>
      </c>
      <c r="K595" s="656">
        <v>0.16</v>
      </c>
      <c r="L595" s="648">
        <f>N87</f>
        <v>18569.6</v>
      </c>
      <c r="M595" s="656">
        <f>L595*K595</f>
        <v>2971.136</v>
      </c>
      <c r="N595" s="656"/>
    </row>
    <row r="596" spans="3:14" ht="12.75">
      <c r="C596" s="753"/>
      <c r="D596" s="699"/>
      <c r="E596" s="588"/>
      <c r="F596" s="595"/>
      <c r="G596" s="595"/>
      <c r="H596" s="596"/>
      <c r="I596" s="653"/>
      <c r="J596" s="592"/>
      <c r="K596" s="656"/>
      <c r="L596" s="648"/>
      <c r="M596" s="656"/>
      <c r="N596" s="656"/>
    </row>
    <row r="597" spans="3:14" ht="12.75">
      <c r="C597" s="754">
        <f>+C590+1</f>
        <v>67</v>
      </c>
      <c r="D597" s="699"/>
      <c r="E597" s="687" t="s">
        <v>1090</v>
      </c>
      <c r="F597" s="595"/>
      <c r="G597" s="595"/>
      <c r="H597" s="596"/>
      <c r="I597" s="653"/>
      <c r="J597" s="592"/>
      <c r="K597" s="656"/>
      <c r="L597" s="648"/>
      <c r="M597" s="656"/>
      <c r="N597" s="657">
        <f>SUM(M598:M603)</f>
        <v>4150496.2399999998</v>
      </c>
    </row>
    <row r="598" spans="3:14" ht="12.75">
      <c r="C598" s="753"/>
      <c r="D598" s="699"/>
      <c r="E598" s="588" t="s">
        <v>1089</v>
      </c>
      <c r="F598" s="595"/>
      <c r="G598" s="595"/>
      <c r="H598" s="596"/>
      <c r="I598" s="653"/>
      <c r="J598" s="592" t="s">
        <v>134</v>
      </c>
      <c r="K598" s="656">
        <f>3.2*1.4*0.1</f>
        <v>0.44799999999999995</v>
      </c>
      <c r="L598" s="648">
        <f>$N$679</f>
        <v>3127538</v>
      </c>
      <c r="M598" s="656">
        <f aca="true" t="shared" si="35" ref="M598:M603">L598*K598</f>
        <v>1401137.0239999997</v>
      </c>
      <c r="N598" s="656"/>
    </row>
    <row r="599" spans="3:14" ht="12.75">
      <c r="C599" s="753"/>
      <c r="D599" s="699"/>
      <c r="E599" s="588" t="s">
        <v>1088</v>
      </c>
      <c r="F599" s="595"/>
      <c r="G599" s="595"/>
      <c r="H599" s="596"/>
      <c r="I599" s="653"/>
      <c r="J599" s="592" t="s">
        <v>149</v>
      </c>
      <c r="K599" s="656">
        <f>3.2*1.4*2</f>
        <v>8.959999999999999</v>
      </c>
      <c r="L599" s="648">
        <f>$L$595</f>
        <v>18569.6</v>
      </c>
      <c r="M599" s="656">
        <f t="shared" si="35"/>
        <v>166383.61599999998</v>
      </c>
      <c r="N599" s="656"/>
    </row>
    <row r="600" spans="3:14" ht="12.75">
      <c r="C600" s="753"/>
      <c r="D600" s="699"/>
      <c r="E600" s="588" t="s">
        <v>871</v>
      </c>
      <c r="F600" s="595"/>
      <c r="G600" s="595"/>
      <c r="H600" s="596"/>
      <c r="I600" s="653"/>
      <c r="J600" s="592" t="s">
        <v>153</v>
      </c>
      <c r="K600" s="656">
        <f>(3.2*6)+(1.4*8)</f>
        <v>30.400000000000002</v>
      </c>
      <c r="L600" s="648">
        <f>$L$554</f>
        <v>5422.4</v>
      </c>
      <c r="M600" s="656">
        <f t="shared" si="35"/>
        <v>164840.96</v>
      </c>
      <c r="N600" s="656"/>
    </row>
    <row r="601" spans="3:14" ht="12.75">
      <c r="C601" s="753"/>
      <c r="D601" s="699"/>
      <c r="E601" s="588" t="s">
        <v>1085</v>
      </c>
      <c r="F601" s="595"/>
      <c r="G601" s="595"/>
      <c r="H601" s="596"/>
      <c r="I601" s="653"/>
      <c r="J601" s="592" t="s">
        <v>149</v>
      </c>
      <c r="K601" s="656">
        <f>2.2*1.4</f>
        <v>3.08</v>
      </c>
      <c r="L601" s="656">
        <f>$L$585</f>
        <v>135758</v>
      </c>
      <c r="M601" s="656">
        <f t="shared" si="35"/>
        <v>418134.64</v>
      </c>
      <c r="N601" s="656"/>
    </row>
    <row r="602" spans="3:14" ht="12.75">
      <c r="C602" s="753"/>
      <c r="D602" s="699"/>
      <c r="E602" s="588" t="s">
        <v>1086</v>
      </c>
      <c r="F602" s="595"/>
      <c r="G602" s="595"/>
      <c r="H602" s="596"/>
      <c r="I602" s="653"/>
      <c r="J602" s="592" t="s">
        <v>161</v>
      </c>
      <c r="K602" s="656">
        <v>1</v>
      </c>
      <c r="L602" s="648">
        <v>1000000</v>
      </c>
      <c r="M602" s="656">
        <f t="shared" si="35"/>
        <v>1000000</v>
      </c>
      <c r="N602" s="656"/>
    </row>
    <row r="603" spans="3:14" ht="12.75">
      <c r="C603" s="753"/>
      <c r="D603" s="699"/>
      <c r="E603" s="588" t="s">
        <v>1087</v>
      </c>
      <c r="F603" s="595"/>
      <c r="G603" s="595"/>
      <c r="H603" s="596"/>
      <c r="I603" s="653"/>
      <c r="J603" s="592" t="s">
        <v>161</v>
      </c>
      <c r="K603" s="656">
        <v>1</v>
      </c>
      <c r="L603" s="648">
        <v>1000000</v>
      </c>
      <c r="M603" s="656">
        <f t="shared" si="35"/>
        <v>1000000</v>
      </c>
      <c r="N603" s="656"/>
    </row>
    <row r="604" spans="3:14" ht="12.75">
      <c r="C604" s="755"/>
      <c r="D604" s="699"/>
      <c r="E604" s="595"/>
      <c r="F604" s="595"/>
      <c r="G604" s="595"/>
      <c r="H604" s="596"/>
      <c r="I604" s="653"/>
      <c r="J604" s="592"/>
      <c r="K604" s="656"/>
      <c r="L604" s="656"/>
      <c r="M604" s="656"/>
      <c r="N604" s="656"/>
    </row>
    <row r="605" spans="3:14" ht="12.75">
      <c r="C605" s="754">
        <f>+C597+1</f>
        <v>68</v>
      </c>
      <c r="D605" s="701"/>
      <c r="E605" s="702" t="s">
        <v>1031</v>
      </c>
      <c r="F605" s="703"/>
      <c r="G605" s="703"/>
      <c r="H605" s="704"/>
      <c r="I605" s="680"/>
      <c r="J605" s="681"/>
      <c r="K605" s="682"/>
      <c r="L605" s="682"/>
      <c r="M605" s="648"/>
      <c r="N605" s="657">
        <f>SUM(M606:M622)</f>
        <v>105616266.75226668</v>
      </c>
    </row>
    <row r="606" spans="3:14" ht="14.25">
      <c r="C606" s="756"/>
      <c r="D606" s="705" t="s">
        <v>625</v>
      </c>
      <c r="E606" s="588" t="s">
        <v>216</v>
      </c>
      <c r="F606" s="703"/>
      <c r="G606" s="703"/>
      <c r="H606" s="704"/>
      <c r="I606" s="680"/>
      <c r="J606" s="681" t="s">
        <v>134</v>
      </c>
      <c r="K606" s="682">
        <v>28.15</v>
      </c>
      <c r="L606" s="648">
        <f>N12</f>
        <v>13600</v>
      </c>
      <c r="M606" s="648">
        <f aca="true" t="shared" si="36" ref="M606:M622">K606*L606</f>
        <v>382840</v>
      </c>
      <c r="N606" s="656"/>
    </row>
    <row r="607" spans="3:14" ht="14.25">
      <c r="C607" s="756"/>
      <c r="D607" s="705" t="s">
        <v>625</v>
      </c>
      <c r="E607" s="588" t="s">
        <v>111</v>
      </c>
      <c r="F607" s="703"/>
      <c r="G607" s="703"/>
      <c r="H607" s="704"/>
      <c r="I607" s="680"/>
      <c r="J607" s="681" t="s">
        <v>134</v>
      </c>
      <c r="K607" s="682">
        <f>0.7*K606</f>
        <v>19.705</v>
      </c>
      <c r="L607" s="648">
        <f>N20</f>
        <v>6800</v>
      </c>
      <c r="M607" s="648">
        <f t="shared" si="36"/>
        <v>133994</v>
      </c>
      <c r="N607" s="656"/>
    </row>
    <row r="608" spans="3:14" ht="14.25">
      <c r="C608" s="756"/>
      <c r="D608" s="705" t="s">
        <v>625</v>
      </c>
      <c r="E608" s="588" t="s">
        <v>113</v>
      </c>
      <c r="F608" s="703"/>
      <c r="G608" s="703"/>
      <c r="H608" s="704"/>
      <c r="I608" s="680"/>
      <c r="J608" s="681" t="s">
        <v>134</v>
      </c>
      <c r="K608" s="682">
        <f>K610/2</f>
        <v>0.285</v>
      </c>
      <c r="L608" s="648">
        <f>N27</f>
        <v>93400</v>
      </c>
      <c r="M608" s="648">
        <f t="shared" si="36"/>
        <v>26618.999999999996</v>
      </c>
      <c r="N608" s="656"/>
    </row>
    <row r="609" spans="3:14" ht="14.25">
      <c r="C609" s="756"/>
      <c r="D609" s="705" t="s">
        <v>625</v>
      </c>
      <c r="E609" s="588" t="s">
        <v>118</v>
      </c>
      <c r="F609" s="703"/>
      <c r="G609" s="706" t="s">
        <v>1032</v>
      </c>
      <c r="H609" s="704"/>
      <c r="I609" s="680"/>
      <c r="J609" s="681" t="s">
        <v>134</v>
      </c>
      <c r="K609" s="682">
        <f>K608/2</f>
        <v>0.1425</v>
      </c>
      <c r="L609" s="648">
        <f>N105</f>
        <v>467450</v>
      </c>
      <c r="M609" s="648">
        <f t="shared" si="36"/>
        <v>66611.625</v>
      </c>
      <c r="N609" s="656"/>
    </row>
    <row r="610" spans="3:14" ht="14.25">
      <c r="C610" s="756"/>
      <c r="D610" s="705" t="s">
        <v>625</v>
      </c>
      <c r="E610" s="588" t="s">
        <v>1033</v>
      </c>
      <c r="F610" s="703"/>
      <c r="G610" s="703"/>
      <c r="H610" s="704"/>
      <c r="I610" s="680"/>
      <c r="J610" s="681" t="s">
        <v>134</v>
      </c>
      <c r="K610" s="682">
        <v>0.57</v>
      </c>
      <c r="L610" s="648">
        <f>N646</f>
        <v>1964043.58</v>
      </c>
      <c r="M610" s="648">
        <f t="shared" si="36"/>
        <v>1119504.8406</v>
      </c>
      <c r="N610" s="656"/>
    </row>
    <row r="611" spans="3:14" ht="14.25">
      <c r="C611" s="756"/>
      <c r="D611" s="705" t="s">
        <v>625</v>
      </c>
      <c r="E611" s="588" t="s">
        <v>286</v>
      </c>
      <c r="F611" s="703"/>
      <c r="G611" s="703"/>
      <c r="H611" s="704"/>
      <c r="I611" s="680"/>
      <c r="J611" s="681" t="s">
        <v>134</v>
      </c>
      <c r="K611" s="682">
        <v>0.06</v>
      </c>
      <c r="L611" s="648">
        <f>N631</f>
        <v>2727535.3333333335</v>
      </c>
      <c r="M611" s="648">
        <f t="shared" si="36"/>
        <v>163652.12</v>
      </c>
      <c r="N611" s="656"/>
    </row>
    <row r="612" spans="3:14" ht="14.25">
      <c r="C612" s="756"/>
      <c r="D612" s="705" t="s">
        <v>625</v>
      </c>
      <c r="E612" s="588" t="s">
        <v>193</v>
      </c>
      <c r="F612" s="703"/>
      <c r="G612" s="703"/>
      <c r="H612" s="704"/>
      <c r="I612" s="680"/>
      <c r="J612" s="681" t="s">
        <v>134</v>
      </c>
      <c r="K612" s="682">
        <f>0.28+0.42</f>
        <v>0.7</v>
      </c>
      <c r="L612" s="648">
        <f>N636</f>
        <v>2727535.3333333335</v>
      </c>
      <c r="M612" s="648">
        <f t="shared" si="36"/>
        <v>1909274.7333333334</v>
      </c>
      <c r="N612" s="656"/>
    </row>
    <row r="613" spans="3:14" ht="14.25">
      <c r="C613" s="756"/>
      <c r="D613" s="705" t="s">
        <v>625</v>
      </c>
      <c r="E613" s="588" t="s">
        <v>29</v>
      </c>
      <c r="F613" s="703"/>
      <c r="G613" s="703"/>
      <c r="H613" s="704"/>
      <c r="I613" s="680"/>
      <c r="J613" s="681" t="s">
        <v>134</v>
      </c>
      <c r="K613" s="682">
        <v>5.44</v>
      </c>
      <c r="L613" s="648">
        <f>N626</f>
        <v>2727535.3333333335</v>
      </c>
      <c r="M613" s="648">
        <f t="shared" si="36"/>
        <v>14837792.213333335</v>
      </c>
      <c r="N613" s="656"/>
    </row>
    <row r="614" spans="3:14" ht="14.25">
      <c r="C614" s="756"/>
      <c r="D614" s="705" t="s">
        <v>625</v>
      </c>
      <c r="E614" s="588" t="s">
        <v>194</v>
      </c>
      <c r="F614" s="703"/>
      <c r="G614" s="703"/>
      <c r="H614" s="704"/>
      <c r="I614" s="680"/>
      <c r="J614" s="681" t="s">
        <v>134</v>
      </c>
      <c r="K614" s="682">
        <v>1.78</v>
      </c>
      <c r="L614" s="648">
        <f>$N$679</f>
        <v>3127538</v>
      </c>
      <c r="M614" s="648">
        <f t="shared" si="36"/>
        <v>5567017.64</v>
      </c>
      <c r="N614" s="656"/>
    </row>
    <row r="615" spans="3:14" ht="14.25">
      <c r="C615" s="756"/>
      <c r="D615" s="705" t="s">
        <v>625</v>
      </c>
      <c r="E615" s="588" t="s">
        <v>5</v>
      </c>
      <c r="F615" s="703"/>
      <c r="G615" s="703"/>
      <c r="H615" s="704"/>
      <c r="I615" s="680"/>
      <c r="J615" s="681" t="s">
        <v>149</v>
      </c>
      <c r="K615" s="682">
        <v>5.68</v>
      </c>
      <c r="L615" s="648">
        <f>N63</f>
        <v>49538</v>
      </c>
      <c r="M615" s="648">
        <f t="shared" si="36"/>
        <v>281375.83999999997</v>
      </c>
      <c r="N615" s="656"/>
    </row>
    <row r="616" spans="3:14" ht="14.25">
      <c r="C616" s="756"/>
      <c r="D616" s="705" t="s">
        <v>625</v>
      </c>
      <c r="E616" s="588" t="s">
        <v>6</v>
      </c>
      <c r="F616" s="703"/>
      <c r="G616" s="703"/>
      <c r="H616" s="704"/>
      <c r="I616" s="680"/>
      <c r="J616" s="681" t="s">
        <v>149</v>
      </c>
      <c r="K616" s="682">
        <v>62.02</v>
      </c>
      <c r="L616" s="648">
        <f>N87</f>
        <v>18569.6</v>
      </c>
      <c r="M616" s="648">
        <f t="shared" si="36"/>
        <v>1151686.592</v>
      </c>
      <c r="N616" s="656"/>
    </row>
    <row r="617" spans="3:14" ht="14.25">
      <c r="C617" s="756"/>
      <c r="D617" s="705" t="s">
        <v>625</v>
      </c>
      <c r="E617" s="700" t="s">
        <v>1034</v>
      </c>
      <c r="F617" s="703"/>
      <c r="G617" s="703"/>
      <c r="H617" s="704"/>
      <c r="I617" s="680"/>
      <c r="J617" s="681" t="s">
        <v>149</v>
      </c>
      <c r="K617" s="682">
        <v>6.66</v>
      </c>
      <c r="L617" s="648">
        <v>400000</v>
      </c>
      <c r="M617" s="648">
        <f t="shared" si="36"/>
        <v>2664000</v>
      </c>
      <c r="N617" s="656"/>
    </row>
    <row r="618" spans="3:14" ht="14.25">
      <c r="C618" s="756"/>
      <c r="D618" s="705" t="s">
        <v>625</v>
      </c>
      <c r="E618" s="700" t="s">
        <v>1035</v>
      </c>
      <c r="F618" s="703"/>
      <c r="G618" s="703"/>
      <c r="H618" s="704"/>
      <c r="I618" s="680"/>
      <c r="J618" s="681" t="s">
        <v>139</v>
      </c>
      <c r="K618" s="682">
        <v>8</v>
      </c>
      <c r="L618" s="648">
        <v>200000</v>
      </c>
      <c r="M618" s="648">
        <f t="shared" si="36"/>
        <v>1600000</v>
      </c>
      <c r="N618" s="656"/>
    </row>
    <row r="619" spans="3:14" ht="14.25">
      <c r="C619" s="756"/>
      <c r="D619" s="705" t="s">
        <v>625</v>
      </c>
      <c r="E619" s="588" t="s">
        <v>1036</v>
      </c>
      <c r="F619" s="703"/>
      <c r="G619" s="703"/>
      <c r="H619" s="704"/>
      <c r="I619" s="680"/>
      <c r="J619" s="681" t="s">
        <v>149</v>
      </c>
      <c r="K619" s="682">
        <v>138.93</v>
      </c>
      <c r="L619" s="648">
        <f>RAB!L68</f>
        <v>517999.99999999994</v>
      </c>
      <c r="M619" s="648">
        <f t="shared" si="36"/>
        <v>71965740</v>
      </c>
      <c r="N619" s="656"/>
    </row>
    <row r="620" spans="3:14" ht="14.25">
      <c r="C620" s="756"/>
      <c r="D620" s="705" t="s">
        <v>625</v>
      </c>
      <c r="E620" s="700" t="s">
        <v>1037</v>
      </c>
      <c r="F620" s="703"/>
      <c r="G620" s="703"/>
      <c r="H620" s="704"/>
      <c r="I620" s="680"/>
      <c r="J620" s="681" t="s">
        <v>161</v>
      </c>
      <c r="K620" s="682">
        <v>1</v>
      </c>
      <c r="L620" s="648">
        <v>1000000</v>
      </c>
      <c r="M620" s="648">
        <f t="shared" si="36"/>
        <v>1000000</v>
      </c>
      <c r="N620" s="656"/>
    </row>
    <row r="621" spans="3:14" ht="14.25">
      <c r="C621" s="756"/>
      <c r="D621" s="705" t="s">
        <v>625</v>
      </c>
      <c r="E621" s="588" t="s">
        <v>1102</v>
      </c>
      <c r="F621" s="703"/>
      <c r="G621" s="703"/>
      <c r="H621" s="704"/>
      <c r="I621" s="680"/>
      <c r="J621" s="681" t="s">
        <v>161</v>
      </c>
      <c r="K621" s="682">
        <f>K616</f>
        <v>62.02</v>
      </c>
      <c r="L621" s="648">
        <f>N441</f>
        <v>8967.4</v>
      </c>
      <c r="M621" s="648">
        <f t="shared" si="36"/>
        <v>556158.148</v>
      </c>
      <c r="N621" s="656"/>
    </row>
    <row r="622" spans="3:14" ht="14.25">
      <c r="C622" s="756"/>
      <c r="D622" s="705" t="s">
        <v>625</v>
      </c>
      <c r="E622" s="588" t="s">
        <v>1113</v>
      </c>
      <c r="F622" s="703"/>
      <c r="G622" s="703"/>
      <c r="H622" s="704"/>
      <c r="I622" s="680"/>
      <c r="J622" s="681" t="s">
        <v>149</v>
      </c>
      <c r="K622" s="682">
        <f>3.65*1.5</f>
        <v>5.475</v>
      </c>
      <c r="L622" s="648">
        <v>400000</v>
      </c>
      <c r="M622" s="648">
        <f t="shared" si="36"/>
        <v>2190000</v>
      </c>
      <c r="N622" s="656"/>
    </row>
    <row r="623" spans="3:14" ht="12.75">
      <c r="C623" s="595"/>
      <c r="D623" s="587"/>
      <c r="E623" s="595"/>
      <c r="F623" s="595"/>
      <c r="G623" s="595"/>
      <c r="H623" s="596"/>
      <c r="I623" s="653"/>
      <c r="J623" s="653"/>
      <c r="K623" s="653"/>
      <c r="L623" s="653"/>
      <c r="M623" s="658"/>
      <c r="N623" s="661"/>
    </row>
    <row r="624" spans="3:14" ht="12.75">
      <c r="C624" s="691"/>
      <c r="D624" s="587"/>
      <c r="E624" s="691" t="s">
        <v>243</v>
      </c>
      <c r="F624" s="595"/>
      <c r="G624" s="595"/>
      <c r="H624" s="596"/>
      <c r="I624" s="653"/>
      <c r="J624" s="653"/>
      <c r="K624" s="653"/>
      <c r="L624" s="653"/>
      <c r="M624" s="653"/>
      <c r="N624" s="661"/>
    </row>
    <row r="625" spans="3:14" ht="12.75">
      <c r="C625" s="587"/>
      <c r="D625" s="686"/>
      <c r="E625" s="588"/>
      <c r="F625" s="595"/>
      <c r="G625" s="707"/>
      <c r="H625" s="591"/>
      <c r="I625" s="683"/>
      <c r="J625" s="597"/>
      <c r="K625" s="597"/>
      <c r="L625" s="656"/>
      <c r="M625" s="656"/>
      <c r="N625" s="657"/>
    </row>
    <row r="626" spans="3:19" s="586" customFormat="1" ht="12.75">
      <c r="C626" s="694">
        <v>1</v>
      </c>
      <c r="D626" s="688"/>
      <c r="E626" s="687" t="s">
        <v>186</v>
      </c>
      <c r="F626" s="691"/>
      <c r="G626" s="708">
        <v>124</v>
      </c>
      <c r="H626" s="693" t="s">
        <v>169</v>
      </c>
      <c r="I626" s="684"/>
      <c r="J626" s="669" t="s">
        <v>109</v>
      </c>
      <c r="K626" s="669"/>
      <c r="L626" s="657"/>
      <c r="M626" s="657"/>
      <c r="N626" s="657">
        <f>SUM(M627:M629)</f>
        <v>2727535.3333333335</v>
      </c>
      <c r="S626" s="578"/>
    </row>
    <row r="627" spans="3:14" ht="12.75">
      <c r="C627" s="587"/>
      <c r="D627" s="686"/>
      <c r="E627" s="588" t="s">
        <v>26</v>
      </c>
      <c r="F627" s="595"/>
      <c r="G627" s="590"/>
      <c r="H627" s="596"/>
      <c r="I627" s="651"/>
      <c r="J627" s="592" t="s">
        <v>134</v>
      </c>
      <c r="K627" s="664">
        <v>1.03</v>
      </c>
      <c r="L627" s="658">
        <f>$N$114</f>
        <v>590600</v>
      </c>
      <c r="M627" s="658">
        <f>K627*L627</f>
        <v>608318</v>
      </c>
      <c r="N627" s="657"/>
    </row>
    <row r="628" spans="3:14" ht="12.75">
      <c r="C628" s="587"/>
      <c r="D628" s="686"/>
      <c r="E628" s="588" t="s">
        <v>27</v>
      </c>
      <c r="F628" s="595"/>
      <c r="G628" s="590"/>
      <c r="H628" s="596"/>
      <c r="I628" s="651"/>
      <c r="J628" s="592" t="s">
        <v>148</v>
      </c>
      <c r="K628" s="664">
        <f>G626</f>
        <v>124</v>
      </c>
      <c r="L628" s="658">
        <f>$N$123</f>
        <v>10951</v>
      </c>
      <c r="M628" s="658">
        <f>K628*L628</f>
        <v>1357924</v>
      </c>
      <c r="N628" s="657"/>
    </row>
    <row r="629" spans="3:14" ht="12.75">
      <c r="C629" s="587"/>
      <c r="D629" s="686"/>
      <c r="E629" s="588" t="s">
        <v>174</v>
      </c>
      <c r="F629" s="595"/>
      <c r="G629" s="590"/>
      <c r="H629" s="596"/>
      <c r="I629" s="651"/>
      <c r="J629" s="592" t="s">
        <v>149</v>
      </c>
      <c r="K629" s="664">
        <f>0.15*2/(0.15*0.15)</f>
        <v>13.333333333333334</v>
      </c>
      <c r="L629" s="658">
        <f>N131</f>
        <v>57097</v>
      </c>
      <c r="M629" s="658">
        <f>K629*L629</f>
        <v>761293.3333333334</v>
      </c>
      <c r="N629" s="659"/>
    </row>
    <row r="630" spans="3:14" ht="12.75">
      <c r="C630" s="587"/>
      <c r="D630" s="686"/>
      <c r="E630" s="588"/>
      <c r="F630" s="595"/>
      <c r="G630" s="590"/>
      <c r="H630" s="596"/>
      <c r="I630" s="651"/>
      <c r="J630" s="592"/>
      <c r="K630" s="664"/>
      <c r="L630" s="658"/>
      <c r="M630" s="658"/>
      <c r="N630" s="659"/>
    </row>
    <row r="631" spans="3:19" s="586" customFormat="1" ht="12.75">
      <c r="C631" s="694">
        <f>C626+1</f>
        <v>2</v>
      </c>
      <c r="D631" s="688"/>
      <c r="E631" s="687" t="s">
        <v>187</v>
      </c>
      <c r="F631" s="691"/>
      <c r="G631" s="689">
        <v>124</v>
      </c>
      <c r="H631" s="693" t="s">
        <v>169</v>
      </c>
      <c r="I631" s="684"/>
      <c r="J631" s="669" t="s">
        <v>109</v>
      </c>
      <c r="K631" s="662"/>
      <c r="L631" s="657"/>
      <c r="M631" s="657"/>
      <c r="N631" s="657">
        <f>SUM(M632:M634)</f>
        <v>2727535.3333333335</v>
      </c>
      <c r="S631" s="578"/>
    </row>
    <row r="632" spans="3:14" ht="12.75">
      <c r="C632" s="587"/>
      <c r="D632" s="686"/>
      <c r="E632" s="588" t="s">
        <v>26</v>
      </c>
      <c r="F632" s="595"/>
      <c r="G632" s="590"/>
      <c r="H632" s="591"/>
      <c r="I632" s="653"/>
      <c r="J632" s="592" t="s">
        <v>134</v>
      </c>
      <c r="K632" s="664">
        <v>1.03</v>
      </c>
      <c r="L632" s="658">
        <f>$N$114</f>
        <v>590600</v>
      </c>
      <c r="M632" s="658">
        <f>K632*L632</f>
        <v>608318</v>
      </c>
      <c r="N632" s="657"/>
    </row>
    <row r="633" spans="3:14" ht="12.75">
      <c r="C633" s="587"/>
      <c r="D633" s="686"/>
      <c r="E633" s="588" t="s">
        <v>27</v>
      </c>
      <c r="F633" s="595"/>
      <c r="G633" s="590"/>
      <c r="H633" s="591"/>
      <c r="I633" s="653"/>
      <c r="J633" s="592" t="s">
        <v>148</v>
      </c>
      <c r="K633" s="664">
        <f>G631</f>
        <v>124</v>
      </c>
      <c r="L633" s="658">
        <f>$N$123</f>
        <v>10951</v>
      </c>
      <c r="M633" s="658">
        <f>K633*L633</f>
        <v>1357924</v>
      </c>
      <c r="N633" s="657"/>
    </row>
    <row r="634" spans="3:14" ht="12.75">
      <c r="C634" s="587"/>
      <c r="D634" s="686"/>
      <c r="E634" s="588" t="s">
        <v>172</v>
      </c>
      <c r="F634" s="595"/>
      <c r="G634" s="590"/>
      <c r="H634" s="591"/>
      <c r="I634" s="653"/>
      <c r="J634" s="592" t="s">
        <v>149</v>
      </c>
      <c r="K634" s="664">
        <f>0.2*2/(0.15*0.2)</f>
        <v>13.333333333333334</v>
      </c>
      <c r="L634" s="658">
        <f>N131</f>
        <v>57097</v>
      </c>
      <c r="M634" s="658">
        <f>K634*L634</f>
        <v>761293.3333333334</v>
      </c>
      <c r="N634" s="659"/>
    </row>
    <row r="635" spans="3:14" ht="12.75">
      <c r="C635" s="587"/>
      <c r="D635" s="686"/>
      <c r="E635" s="588"/>
      <c r="F635" s="595"/>
      <c r="G635" s="590"/>
      <c r="H635" s="591"/>
      <c r="I635" s="653"/>
      <c r="J635" s="592"/>
      <c r="K635" s="664"/>
      <c r="L635" s="658"/>
      <c r="M635" s="658"/>
      <c r="N635" s="659"/>
    </row>
    <row r="636" spans="3:19" s="586" customFormat="1" ht="12.75">
      <c r="C636" s="694">
        <f>C631+1</f>
        <v>3</v>
      </c>
      <c r="D636" s="688"/>
      <c r="E636" s="687" t="s">
        <v>119</v>
      </c>
      <c r="F636" s="691"/>
      <c r="G636" s="689">
        <v>124</v>
      </c>
      <c r="H636" s="693" t="s">
        <v>169</v>
      </c>
      <c r="I636" s="684"/>
      <c r="J636" s="669" t="s">
        <v>109</v>
      </c>
      <c r="K636" s="662"/>
      <c r="L636" s="657"/>
      <c r="M636" s="657"/>
      <c r="N636" s="657">
        <f>SUM(M637:M639)</f>
        <v>2727535.3333333335</v>
      </c>
      <c r="S636" s="578"/>
    </row>
    <row r="637" spans="3:14" ht="12.75">
      <c r="C637" s="587"/>
      <c r="D637" s="686"/>
      <c r="E637" s="588" t="s">
        <v>26</v>
      </c>
      <c r="F637" s="595"/>
      <c r="G637" s="590"/>
      <c r="H637" s="591"/>
      <c r="I637" s="653"/>
      <c r="J637" s="592" t="s">
        <v>134</v>
      </c>
      <c r="K637" s="664">
        <v>1.03</v>
      </c>
      <c r="L637" s="658">
        <f>$N$114</f>
        <v>590600</v>
      </c>
      <c r="M637" s="658">
        <f>K637*L637</f>
        <v>608318</v>
      </c>
      <c r="N637" s="657"/>
    </row>
    <row r="638" spans="3:14" ht="12.75">
      <c r="C638" s="587"/>
      <c r="D638" s="686"/>
      <c r="E638" s="588" t="s">
        <v>27</v>
      </c>
      <c r="F638" s="595"/>
      <c r="G638" s="590"/>
      <c r="H638" s="591"/>
      <c r="I638" s="653"/>
      <c r="J638" s="592" t="s">
        <v>148</v>
      </c>
      <c r="K638" s="664">
        <f>G636</f>
        <v>124</v>
      </c>
      <c r="L638" s="658">
        <f>$N$123</f>
        <v>10951</v>
      </c>
      <c r="M638" s="658">
        <f>K638*L638</f>
        <v>1357924</v>
      </c>
      <c r="N638" s="657"/>
    </row>
    <row r="639" spans="3:14" ht="12.75">
      <c r="C639" s="587"/>
      <c r="D639" s="686"/>
      <c r="E639" s="588" t="s">
        <v>178</v>
      </c>
      <c r="F639" s="595"/>
      <c r="G639" s="590"/>
      <c r="H639" s="591"/>
      <c r="I639" s="653"/>
      <c r="J639" s="592" t="s">
        <v>149</v>
      </c>
      <c r="K639" s="664">
        <f>0.2*2/(0.15*0.2)</f>
        <v>13.333333333333334</v>
      </c>
      <c r="L639" s="658">
        <f>$N$131</f>
        <v>57097</v>
      </c>
      <c r="M639" s="658">
        <f>K639*L639</f>
        <v>761293.3333333334</v>
      </c>
      <c r="N639" s="659"/>
    </row>
    <row r="640" spans="3:14" ht="12.75">
      <c r="C640" s="587"/>
      <c r="D640" s="686"/>
      <c r="E640" s="588"/>
      <c r="F640" s="595"/>
      <c r="G640" s="590"/>
      <c r="H640" s="591"/>
      <c r="I640" s="653"/>
      <c r="J640" s="592"/>
      <c r="K640" s="664"/>
      <c r="L640" s="658"/>
      <c r="M640" s="658"/>
      <c r="N640" s="659"/>
    </row>
    <row r="641" spans="3:14" ht="12.75">
      <c r="C641" s="694">
        <f>+C636+1</f>
        <v>4</v>
      </c>
      <c r="D641" s="686"/>
      <c r="E641" s="687" t="s">
        <v>1027</v>
      </c>
      <c r="F641" s="691"/>
      <c r="G641" s="689">
        <v>182</v>
      </c>
      <c r="H641" s="693" t="s">
        <v>169</v>
      </c>
      <c r="I641" s="684"/>
      <c r="J641" s="669" t="s">
        <v>109</v>
      </c>
      <c r="K641" s="662"/>
      <c r="L641" s="657"/>
      <c r="M641" s="657"/>
      <c r="N641" s="657">
        <f>SUM(M642:M644)</f>
        <v>4099857.45</v>
      </c>
    </row>
    <row r="642" spans="3:14" ht="12.75">
      <c r="C642" s="587"/>
      <c r="D642" s="686"/>
      <c r="E642" s="588" t="s">
        <v>26</v>
      </c>
      <c r="F642" s="595"/>
      <c r="G642" s="590"/>
      <c r="H642" s="591"/>
      <c r="I642" s="653"/>
      <c r="J642" s="592" t="s">
        <v>134</v>
      </c>
      <c r="K642" s="664">
        <v>1.03</v>
      </c>
      <c r="L642" s="658">
        <f>$N$114</f>
        <v>590600</v>
      </c>
      <c r="M642" s="658">
        <f>K642*L642</f>
        <v>608318</v>
      </c>
      <c r="N642" s="657"/>
    </row>
    <row r="643" spans="3:14" ht="12.75">
      <c r="C643" s="587"/>
      <c r="D643" s="686"/>
      <c r="E643" s="588" t="s">
        <v>27</v>
      </c>
      <c r="F643" s="595"/>
      <c r="G643" s="590"/>
      <c r="H643" s="591"/>
      <c r="I643" s="653"/>
      <c r="J643" s="592" t="s">
        <v>148</v>
      </c>
      <c r="K643" s="664">
        <f>G641</f>
        <v>182</v>
      </c>
      <c r="L643" s="658">
        <f>$N$123</f>
        <v>10951</v>
      </c>
      <c r="M643" s="658">
        <f>K643*L643</f>
        <v>1993082</v>
      </c>
      <c r="N643" s="657"/>
    </row>
    <row r="644" spans="3:14" ht="12.75">
      <c r="C644" s="587"/>
      <c r="D644" s="686"/>
      <c r="E644" s="588" t="s">
        <v>178</v>
      </c>
      <c r="F644" s="595"/>
      <c r="G644" s="590"/>
      <c r="H644" s="591"/>
      <c r="I644" s="653"/>
      <c r="J644" s="592" t="s">
        <v>149</v>
      </c>
      <c r="K644" s="664">
        <v>12.95</v>
      </c>
      <c r="L644" s="658">
        <f>$N$151</f>
        <v>115711</v>
      </c>
      <c r="M644" s="658">
        <f>K644*L644</f>
        <v>1498457.45</v>
      </c>
      <c r="N644" s="659"/>
    </row>
    <row r="645" spans="3:14" ht="12.75">
      <c r="C645" s="587"/>
      <c r="D645" s="686"/>
      <c r="E645" s="588"/>
      <c r="F645" s="595"/>
      <c r="G645" s="590"/>
      <c r="H645" s="591"/>
      <c r="I645" s="653"/>
      <c r="J645" s="592"/>
      <c r="K645" s="664"/>
      <c r="L645" s="658"/>
      <c r="M645" s="658"/>
      <c r="N645" s="659"/>
    </row>
    <row r="646" spans="3:19" s="586" customFormat="1" ht="12.75">
      <c r="C646" s="694">
        <f>+C641+1</f>
        <v>5</v>
      </c>
      <c r="D646" s="688"/>
      <c r="E646" s="687" t="s">
        <v>891</v>
      </c>
      <c r="F646" s="691"/>
      <c r="G646" s="689">
        <v>97</v>
      </c>
      <c r="H646" s="693" t="s">
        <v>169</v>
      </c>
      <c r="I646" s="684"/>
      <c r="J646" s="669" t="s">
        <v>109</v>
      </c>
      <c r="K646" s="662"/>
      <c r="L646" s="657"/>
      <c r="M646" s="657"/>
      <c r="N646" s="657">
        <f>SUM(M647:M649)</f>
        <v>1964043.58</v>
      </c>
      <c r="S646" s="578"/>
    </row>
    <row r="647" spans="3:14" ht="12.75">
      <c r="C647" s="587"/>
      <c r="D647" s="686"/>
      <c r="E647" s="588" t="s">
        <v>25</v>
      </c>
      <c r="F647" s="595"/>
      <c r="G647" s="590"/>
      <c r="H647" s="591"/>
      <c r="I647" s="653"/>
      <c r="J647" s="592" t="s">
        <v>134</v>
      </c>
      <c r="K647" s="664">
        <v>1.03</v>
      </c>
      <c r="L647" s="658">
        <f>$N$114</f>
        <v>590600</v>
      </c>
      <c r="M647" s="658">
        <f>K647*L647</f>
        <v>608318</v>
      </c>
      <c r="N647" s="657"/>
    </row>
    <row r="648" spans="3:14" ht="12.75">
      <c r="C648" s="587"/>
      <c r="D648" s="686"/>
      <c r="E648" s="588" t="s">
        <v>27</v>
      </c>
      <c r="F648" s="595"/>
      <c r="G648" s="590"/>
      <c r="H648" s="591"/>
      <c r="I648" s="653"/>
      <c r="J648" s="592" t="s">
        <v>148</v>
      </c>
      <c r="K648" s="664">
        <f>G646</f>
        <v>97</v>
      </c>
      <c r="L648" s="658">
        <f>$N$123</f>
        <v>10951</v>
      </c>
      <c r="M648" s="658">
        <f>K648*L648</f>
        <v>1062247</v>
      </c>
      <c r="N648" s="657"/>
    </row>
    <row r="649" spans="3:14" ht="12.75">
      <c r="C649" s="587"/>
      <c r="D649" s="686"/>
      <c r="E649" s="588" t="s">
        <v>172</v>
      </c>
      <c r="F649" s="595"/>
      <c r="G649" s="590"/>
      <c r="H649" s="591"/>
      <c r="I649" s="653"/>
      <c r="J649" s="592" t="s">
        <v>149</v>
      </c>
      <c r="K649" s="664">
        <v>5.14</v>
      </c>
      <c r="L649" s="658">
        <f>N131</f>
        <v>57097</v>
      </c>
      <c r="M649" s="658">
        <f>K649*L649</f>
        <v>293478.57999999996</v>
      </c>
      <c r="N649" s="659"/>
    </row>
    <row r="650" spans="3:19" s="586" customFormat="1" ht="12.75">
      <c r="C650" s="694">
        <f>+C646+1</f>
        <v>6</v>
      </c>
      <c r="D650" s="688"/>
      <c r="E650" s="687" t="s">
        <v>1018</v>
      </c>
      <c r="F650" s="691"/>
      <c r="G650" s="689">
        <v>210</v>
      </c>
      <c r="H650" s="693" t="s">
        <v>169</v>
      </c>
      <c r="I650" s="684"/>
      <c r="J650" s="669" t="s">
        <v>109</v>
      </c>
      <c r="K650" s="662"/>
      <c r="L650" s="657"/>
      <c r="M650" s="657"/>
      <c r="N650" s="657">
        <f>SUM(M651:M653)</f>
        <v>4940654.61</v>
      </c>
      <c r="S650" s="578"/>
    </row>
    <row r="651" spans="3:14" ht="12.75">
      <c r="C651" s="587"/>
      <c r="D651" s="686"/>
      <c r="E651" s="588" t="s">
        <v>25</v>
      </c>
      <c r="F651" s="595"/>
      <c r="G651" s="590"/>
      <c r="H651" s="591"/>
      <c r="I651" s="653"/>
      <c r="J651" s="592" t="s">
        <v>134</v>
      </c>
      <c r="K651" s="664">
        <v>1.03</v>
      </c>
      <c r="L651" s="658">
        <f>$N$114</f>
        <v>590600</v>
      </c>
      <c r="M651" s="658">
        <f>K651*L651</f>
        <v>608318</v>
      </c>
      <c r="N651" s="657"/>
    </row>
    <row r="652" spans="3:14" ht="12.75">
      <c r="C652" s="587"/>
      <c r="D652" s="686"/>
      <c r="E652" s="588" t="s">
        <v>27</v>
      </c>
      <c r="F652" s="595"/>
      <c r="G652" s="590"/>
      <c r="H652" s="591"/>
      <c r="I652" s="653"/>
      <c r="J652" s="592" t="s">
        <v>148</v>
      </c>
      <c r="K652" s="664">
        <f>G650</f>
        <v>210</v>
      </c>
      <c r="L652" s="658">
        <f>$N$123</f>
        <v>10951</v>
      </c>
      <c r="M652" s="658">
        <f>K652*L652</f>
        <v>2299710</v>
      </c>
      <c r="N652" s="657"/>
    </row>
    <row r="653" spans="3:18" ht="12.75">
      <c r="C653" s="587"/>
      <c r="D653" s="686"/>
      <c r="E653" s="588" t="s">
        <v>174</v>
      </c>
      <c r="F653" s="595"/>
      <c r="G653" s="590"/>
      <c r="H653" s="591"/>
      <c r="I653" s="653"/>
      <c r="J653" s="592" t="s">
        <v>149</v>
      </c>
      <c r="K653" s="664">
        <v>18.01</v>
      </c>
      <c r="L653" s="658">
        <f>$N$139</f>
        <v>112861</v>
      </c>
      <c r="M653" s="658">
        <f>K653*L653</f>
        <v>2032626.61</v>
      </c>
      <c r="N653" s="659"/>
      <c r="P653" s="601">
        <v>4</v>
      </c>
      <c r="Q653" s="601">
        <v>0.4</v>
      </c>
      <c r="R653" s="601"/>
    </row>
    <row r="654" spans="3:18" ht="12.75">
      <c r="C654" s="587"/>
      <c r="D654" s="686"/>
      <c r="E654" s="588"/>
      <c r="F654" s="595"/>
      <c r="G654" s="590"/>
      <c r="H654" s="591"/>
      <c r="I654" s="653"/>
      <c r="J654" s="592"/>
      <c r="K654" s="664"/>
      <c r="L654" s="658"/>
      <c r="M654" s="658"/>
      <c r="N654" s="659"/>
      <c r="P654" s="601"/>
      <c r="Q654" s="601"/>
      <c r="R654" s="601"/>
    </row>
    <row r="655" spans="3:19" s="586" customFormat="1" ht="12.75">
      <c r="C655" s="694">
        <f>+C650+1</f>
        <v>7</v>
      </c>
      <c r="D655" s="688"/>
      <c r="E655" s="687" t="s">
        <v>1175</v>
      </c>
      <c r="F655" s="691"/>
      <c r="G655" s="689">
        <v>200</v>
      </c>
      <c r="H655" s="693" t="s">
        <v>169</v>
      </c>
      <c r="I655" s="684"/>
      <c r="J655" s="669" t="s">
        <v>109</v>
      </c>
      <c r="K655" s="662"/>
      <c r="L655" s="657"/>
      <c r="M655" s="657"/>
      <c r="N655" s="657">
        <f>SUM(M656:M658)</f>
        <v>4209280.5</v>
      </c>
      <c r="S655" s="578"/>
    </row>
    <row r="656" spans="3:14" ht="12.75">
      <c r="C656" s="587"/>
      <c r="D656" s="686"/>
      <c r="E656" s="588" t="s">
        <v>25</v>
      </c>
      <c r="F656" s="595"/>
      <c r="G656" s="590"/>
      <c r="H656" s="591"/>
      <c r="I656" s="653"/>
      <c r="J656" s="592" t="s">
        <v>134</v>
      </c>
      <c r="K656" s="664">
        <v>1.03</v>
      </c>
      <c r="L656" s="658">
        <f>$N$114</f>
        <v>590600</v>
      </c>
      <c r="M656" s="658">
        <f>K656*L656</f>
        <v>608318</v>
      </c>
      <c r="N656" s="657"/>
    </row>
    <row r="657" spans="3:14" ht="12.75">
      <c r="C657" s="587"/>
      <c r="D657" s="686"/>
      <c r="E657" s="588" t="s">
        <v>27</v>
      </c>
      <c r="F657" s="595"/>
      <c r="G657" s="590"/>
      <c r="H657" s="591"/>
      <c r="I657" s="653"/>
      <c r="J657" s="592" t="s">
        <v>148</v>
      </c>
      <c r="K657" s="664">
        <f>+G655</f>
        <v>200</v>
      </c>
      <c r="L657" s="658">
        <f>$N$123</f>
        <v>10951</v>
      </c>
      <c r="M657" s="658">
        <f>K657*L657</f>
        <v>2190200</v>
      </c>
      <c r="N657" s="657"/>
    </row>
    <row r="658" spans="3:18" ht="12.75">
      <c r="C658" s="587"/>
      <c r="D658" s="686"/>
      <c r="E658" s="588" t="s">
        <v>174</v>
      </c>
      <c r="F658" s="595"/>
      <c r="G658" s="590"/>
      <c r="H658" s="591"/>
      <c r="I658" s="653"/>
      <c r="J658" s="592" t="s">
        <v>149</v>
      </c>
      <c r="K658" s="664">
        <f>(1/(0.4*0.2))*(1)</f>
        <v>12.499999999999998</v>
      </c>
      <c r="L658" s="658">
        <f>$N$139</f>
        <v>112861</v>
      </c>
      <c r="M658" s="658">
        <f>K658*L658</f>
        <v>1410762.4999999998</v>
      </c>
      <c r="N658" s="659"/>
      <c r="P658" s="601">
        <v>4</v>
      </c>
      <c r="Q658" s="601">
        <v>0.4</v>
      </c>
      <c r="R658" s="601"/>
    </row>
    <row r="659" spans="3:18" ht="12.75">
      <c r="C659" s="587"/>
      <c r="D659" s="686"/>
      <c r="E659" s="588"/>
      <c r="F659" s="595"/>
      <c r="G659" s="590"/>
      <c r="H659" s="591"/>
      <c r="I659" s="653"/>
      <c r="J659" s="592"/>
      <c r="K659" s="664"/>
      <c r="L659" s="658"/>
      <c r="M659" s="658"/>
      <c r="N659" s="659"/>
      <c r="P659" s="601"/>
      <c r="Q659" s="601"/>
      <c r="R659" s="601"/>
    </row>
    <row r="660" spans="3:19" s="586" customFormat="1" ht="12.75">
      <c r="C660" s="694">
        <f>+C655+1</f>
        <v>8</v>
      </c>
      <c r="D660" s="688"/>
      <c r="E660" s="687" t="s">
        <v>1222</v>
      </c>
      <c r="F660" s="691"/>
      <c r="G660" s="689">
        <v>200</v>
      </c>
      <c r="H660" s="693" t="s">
        <v>169</v>
      </c>
      <c r="I660" s="684"/>
      <c r="J660" s="669" t="s">
        <v>109</v>
      </c>
      <c r="K660" s="662"/>
      <c r="L660" s="657"/>
      <c r="M660" s="657"/>
      <c r="N660" s="657">
        <f>SUM(M661:M663)</f>
        <v>4491433</v>
      </c>
      <c r="S660" s="578"/>
    </row>
    <row r="661" spans="3:14" ht="12.75">
      <c r="C661" s="587"/>
      <c r="D661" s="686"/>
      <c r="E661" s="588" t="s">
        <v>25</v>
      </c>
      <c r="F661" s="595"/>
      <c r="G661" s="590"/>
      <c r="H661" s="591"/>
      <c r="I661" s="653"/>
      <c r="J661" s="592" t="s">
        <v>134</v>
      </c>
      <c r="K661" s="664">
        <v>1.03</v>
      </c>
      <c r="L661" s="658">
        <f>$N$114</f>
        <v>590600</v>
      </c>
      <c r="M661" s="658">
        <f>K661*L661</f>
        <v>608318</v>
      </c>
      <c r="N661" s="657"/>
    </row>
    <row r="662" spans="3:14" ht="12.75">
      <c r="C662" s="587"/>
      <c r="D662" s="686"/>
      <c r="E662" s="588" t="s">
        <v>27</v>
      </c>
      <c r="F662" s="595"/>
      <c r="G662" s="590"/>
      <c r="H662" s="591"/>
      <c r="I662" s="653"/>
      <c r="J662" s="592" t="s">
        <v>148</v>
      </c>
      <c r="K662" s="664">
        <f>+G660</f>
        <v>200</v>
      </c>
      <c r="L662" s="658">
        <f>$N$123</f>
        <v>10951</v>
      </c>
      <c r="M662" s="658">
        <f>K662*L662</f>
        <v>2190200</v>
      </c>
      <c r="N662" s="657"/>
    </row>
    <row r="663" spans="3:18" ht="12.75">
      <c r="C663" s="587"/>
      <c r="D663" s="686"/>
      <c r="E663" s="588" t="s">
        <v>174</v>
      </c>
      <c r="F663" s="595"/>
      <c r="G663" s="590"/>
      <c r="H663" s="591"/>
      <c r="I663" s="653"/>
      <c r="J663" s="592" t="s">
        <v>149</v>
      </c>
      <c r="K663" s="664">
        <v>15</v>
      </c>
      <c r="L663" s="658">
        <f>$N$139</f>
        <v>112861</v>
      </c>
      <c r="M663" s="658">
        <f>K663*L663</f>
        <v>1692915</v>
      </c>
      <c r="N663" s="659"/>
      <c r="P663" s="601">
        <v>4</v>
      </c>
      <c r="Q663" s="601">
        <v>0.4</v>
      </c>
      <c r="R663" s="601"/>
    </row>
    <row r="664" spans="3:18" ht="12.75">
      <c r="C664" s="587"/>
      <c r="D664" s="686"/>
      <c r="E664" s="588"/>
      <c r="F664" s="595"/>
      <c r="G664" s="590"/>
      <c r="H664" s="591"/>
      <c r="I664" s="653"/>
      <c r="J664" s="592"/>
      <c r="K664" s="664"/>
      <c r="L664" s="658"/>
      <c r="M664" s="658"/>
      <c r="N664" s="659"/>
      <c r="P664" s="601"/>
      <c r="Q664" s="601"/>
      <c r="R664" s="601"/>
    </row>
    <row r="665" spans="3:19" s="586" customFormat="1" ht="12.75">
      <c r="C665" s="694">
        <f>+C651+1</f>
        <v>1</v>
      </c>
      <c r="D665" s="688"/>
      <c r="E665" s="687" t="s">
        <v>1173</v>
      </c>
      <c r="F665" s="691"/>
      <c r="G665" s="689">
        <v>180</v>
      </c>
      <c r="H665" s="693" t="s">
        <v>169</v>
      </c>
      <c r="I665" s="684"/>
      <c r="J665" s="669" t="s">
        <v>109</v>
      </c>
      <c r="K665" s="662"/>
      <c r="L665" s="657"/>
      <c r="M665" s="657"/>
      <c r="N665" s="657">
        <f>SUM(M666:M668)</f>
        <v>4612124.61</v>
      </c>
      <c r="S665" s="578"/>
    </row>
    <row r="666" spans="3:14" ht="12.75">
      <c r="C666" s="587"/>
      <c r="D666" s="686"/>
      <c r="E666" s="588" t="s">
        <v>25</v>
      </c>
      <c r="F666" s="595"/>
      <c r="G666" s="590"/>
      <c r="H666" s="591"/>
      <c r="I666" s="653"/>
      <c r="J666" s="592" t="s">
        <v>134</v>
      </c>
      <c r="K666" s="664">
        <v>1.03</v>
      </c>
      <c r="L666" s="658">
        <f>$N$114</f>
        <v>590600</v>
      </c>
      <c r="M666" s="658">
        <f>K666*L666</f>
        <v>608318</v>
      </c>
      <c r="N666" s="657"/>
    </row>
    <row r="667" spans="3:14" ht="12.75">
      <c r="C667" s="587"/>
      <c r="D667" s="686"/>
      <c r="E667" s="588" t="s">
        <v>27</v>
      </c>
      <c r="F667" s="595"/>
      <c r="G667" s="590"/>
      <c r="H667" s="591"/>
      <c r="I667" s="653"/>
      <c r="J667" s="592" t="s">
        <v>148</v>
      </c>
      <c r="K667" s="664">
        <f>G665</f>
        <v>180</v>
      </c>
      <c r="L667" s="658">
        <f>$N$123</f>
        <v>10951</v>
      </c>
      <c r="M667" s="658">
        <f>K667*L667</f>
        <v>1971180</v>
      </c>
      <c r="N667" s="657"/>
    </row>
    <row r="668" spans="3:18" ht="12.75">
      <c r="C668" s="587"/>
      <c r="D668" s="686"/>
      <c r="E668" s="588" t="s">
        <v>174</v>
      </c>
      <c r="F668" s="595"/>
      <c r="G668" s="590"/>
      <c r="H668" s="591"/>
      <c r="I668" s="653"/>
      <c r="J668" s="592" t="s">
        <v>149</v>
      </c>
      <c r="K668" s="664">
        <v>18.01</v>
      </c>
      <c r="L668" s="658">
        <f>$N$139</f>
        <v>112861</v>
      </c>
      <c r="M668" s="658">
        <f>K668*L668</f>
        <v>2032626.61</v>
      </c>
      <c r="N668" s="659"/>
      <c r="P668" s="601">
        <v>4</v>
      </c>
      <c r="Q668" s="601">
        <v>0.4</v>
      </c>
      <c r="R668" s="601"/>
    </row>
    <row r="669" spans="3:18" ht="12.75">
      <c r="C669" s="587"/>
      <c r="D669" s="686"/>
      <c r="E669" s="588"/>
      <c r="F669" s="595"/>
      <c r="G669" s="590"/>
      <c r="H669" s="591"/>
      <c r="I669" s="653"/>
      <c r="J669" s="592"/>
      <c r="K669" s="664"/>
      <c r="L669" s="658"/>
      <c r="M669" s="658"/>
      <c r="N669" s="659"/>
      <c r="P669" s="601"/>
      <c r="Q669" s="601"/>
      <c r="R669" s="601"/>
    </row>
    <row r="670" spans="3:19" s="586" customFormat="1" ht="12.75">
      <c r="C670" s="694">
        <f>+C650+1</f>
        <v>7</v>
      </c>
      <c r="D670" s="688"/>
      <c r="E670" s="687" t="s">
        <v>287</v>
      </c>
      <c r="F670" s="691"/>
      <c r="G670" s="689">
        <v>124</v>
      </c>
      <c r="H670" s="693" t="s">
        <v>169</v>
      </c>
      <c r="I670" s="684"/>
      <c r="J670" s="669" t="s">
        <v>109</v>
      </c>
      <c r="K670" s="684"/>
      <c r="L670" s="657"/>
      <c r="M670" s="657"/>
      <c r="N670" s="657">
        <f>SUM(M671:M673)</f>
        <v>2727535.3333333335</v>
      </c>
      <c r="O670" s="574"/>
      <c r="P670" s="563"/>
      <c r="Q670" s="583" t="s">
        <v>799</v>
      </c>
      <c r="R670" s="713">
        <v>86</v>
      </c>
      <c r="S670" s="603" t="s">
        <v>169</v>
      </c>
    </row>
    <row r="671" spans="3:19" ht="12.75">
      <c r="C671" s="587"/>
      <c r="D671" s="686"/>
      <c r="E671" s="588" t="s">
        <v>25</v>
      </c>
      <c r="F671" s="595"/>
      <c r="G671" s="590"/>
      <c r="H671" s="591"/>
      <c r="I671" s="653"/>
      <c r="J671" s="592" t="s">
        <v>134</v>
      </c>
      <c r="K671" s="598">
        <v>1.03</v>
      </c>
      <c r="L671" s="658">
        <f>$N$114</f>
        <v>590600</v>
      </c>
      <c r="M671" s="658">
        <f>K671*L671</f>
        <v>608318</v>
      </c>
      <c r="N671" s="657"/>
      <c r="O671" s="575"/>
      <c r="P671" s="558"/>
      <c r="Q671" s="582" t="s">
        <v>576</v>
      </c>
      <c r="R671" s="714">
        <v>86</v>
      </c>
      <c r="S671" s="602" t="s">
        <v>169</v>
      </c>
    </row>
    <row r="672" spans="3:19" ht="12.75">
      <c r="C672" s="587"/>
      <c r="D672" s="686"/>
      <c r="E672" s="588" t="s">
        <v>27</v>
      </c>
      <c r="F672" s="595"/>
      <c r="G672" s="590"/>
      <c r="H672" s="591"/>
      <c r="I672" s="653"/>
      <c r="J672" s="592" t="s">
        <v>148</v>
      </c>
      <c r="K672" s="598">
        <f>G670</f>
        <v>124</v>
      </c>
      <c r="L672" s="658">
        <f>$N$123</f>
        <v>10951</v>
      </c>
      <c r="M672" s="658">
        <f>K672*L672</f>
        <v>1357924</v>
      </c>
      <c r="N672" s="657"/>
      <c r="O672" s="575"/>
      <c r="P672" s="558"/>
      <c r="Q672" s="582" t="s">
        <v>863</v>
      </c>
      <c r="R672" s="714">
        <v>135</v>
      </c>
      <c r="S672" s="602" t="s">
        <v>169</v>
      </c>
    </row>
    <row r="673" spans="3:19" ht="12.75">
      <c r="C673" s="587"/>
      <c r="D673" s="686"/>
      <c r="E673" s="588" t="s">
        <v>178</v>
      </c>
      <c r="F673" s="595"/>
      <c r="G673" s="590"/>
      <c r="H673" s="591"/>
      <c r="I673" s="653"/>
      <c r="J673" s="592" t="s">
        <v>149</v>
      </c>
      <c r="K673" s="664">
        <f>0.2*2/(0.15*0.2)</f>
        <v>13.333333333333334</v>
      </c>
      <c r="L673" s="658">
        <f>$N$131</f>
        <v>57097</v>
      </c>
      <c r="M673" s="658">
        <f>K673*L673</f>
        <v>761293.3333333334</v>
      </c>
      <c r="N673" s="659"/>
      <c r="O673" s="575"/>
      <c r="P673" s="558"/>
      <c r="Q673" s="582"/>
      <c r="R673" s="714">
        <v>88</v>
      </c>
      <c r="S673" s="602" t="s">
        <v>169</v>
      </c>
    </row>
    <row r="674" spans="3:14" ht="12.75">
      <c r="C674" s="587"/>
      <c r="D674" s="686"/>
      <c r="E674" s="588"/>
      <c r="F674" s="595"/>
      <c r="G674" s="590"/>
      <c r="H674" s="591"/>
      <c r="I674" s="653"/>
      <c r="J674" s="592"/>
      <c r="K674" s="598"/>
      <c r="L674" s="658"/>
      <c r="M674" s="658"/>
      <c r="N674" s="659"/>
    </row>
    <row r="675" spans="3:19" s="586" customFormat="1" ht="12.75">
      <c r="C675" s="694">
        <f>C670+1</f>
        <v>8</v>
      </c>
      <c r="D675" s="688"/>
      <c r="E675" s="687" t="s">
        <v>647</v>
      </c>
      <c r="F675" s="691"/>
      <c r="G675" s="689">
        <v>110</v>
      </c>
      <c r="H675" s="693" t="s">
        <v>169</v>
      </c>
      <c r="I675" s="684"/>
      <c r="J675" s="669" t="s">
        <v>109</v>
      </c>
      <c r="K675" s="684"/>
      <c r="L675" s="657"/>
      <c r="M675" s="657"/>
      <c r="N675" s="657">
        <f>SUM(M676:M678)</f>
        <v>3456190.5</v>
      </c>
      <c r="S675" s="578"/>
    </row>
    <row r="676" spans="3:14" ht="12.75">
      <c r="C676" s="587"/>
      <c r="D676" s="686"/>
      <c r="E676" s="588" t="s">
        <v>25</v>
      </c>
      <c r="F676" s="595"/>
      <c r="G676" s="590"/>
      <c r="H676" s="591"/>
      <c r="I676" s="653"/>
      <c r="J676" s="592" t="s">
        <v>134</v>
      </c>
      <c r="K676" s="598">
        <v>1.03</v>
      </c>
      <c r="L676" s="658">
        <f>$N$114</f>
        <v>590600</v>
      </c>
      <c r="M676" s="658">
        <f>K676*L676</f>
        <v>608318</v>
      </c>
      <c r="N676" s="657"/>
    </row>
    <row r="677" spans="3:14" ht="12.75">
      <c r="C677" s="587"/>
      <c r="D677" s="686"/>
      <c r="E677" s="588" t="s">
        <v>27</v>
      </c>
      <c r="F677" s="595"/>
      <c r="G677" s="590"/>
      <c r="H677" s="591"/>
      <c r="I677" s="653"/>
      <c r="J677" s="592" t="s">
        <v>148</v>
      </c>
      <c r="K677" s="598">
        <f>G675</f>
        <v>110</v>
      </c>
      <c r="L677" s="658">
        <f>$N$123</f>
        <v>10951</v>
      </c>
      <c r="M677" s="658">
        <f>K677*L677</f>
        <v>1204610</v>
      </c>
      <c r="N677" s="657"/>
    </row>
    <row r="678" spans="3:14" ht="12.75">
      <c r="C678" s="587"/>
      <c r="D678" s="686"/>
      <c r="E678" s="588" t="s">
        <v>887</v>
      </c>
      <c r="F678" s="595"/>
      <c r="G678" s="590"/>
      <c r="H678" s="591"/>
      <c r="I678" s="653"/>
      <c r="J678" s="592" t="s">
        <v>149</v>
      </c>
      <c r="K678" s="598">
        <f>1/0.08</f>
        <v>12.5</v>
      </c>
      <c r="L678" s="658">
        <f>$N$163</f>
        <v>131461</v>
      </c>
      <c r="M678" s="658">
        <f>K678*L678</f>
        <v>1643262.5</v>
      </c>
      <c r="N678" s="659"/>
    </row>
    <row r="679" spans="3:19" s="586" customFormat="1" ht="12.75">
      <c r="C679" s="694">
        <f>C675+1</f>
        <v>9</v>
      </c>
      <c r="D679" s="688"/>
      <c r="E679" s="687" t="s">
        <v>194</v>
      </c>
      <c r="F679" s="691"/>
      <c r="G679" s="689">
        <v>110</v>
      </c>
      <c r="H679" s="693" t="s">
        <v>169</v>
      </c>
      <c r="I679" s="684"/>
      <c r="J679" s="669" t="s">
        <v>109</v>
      </c>
      <c r="K679" s="684"/>
      <c r="L679" s="657"/>
      <c r="M679" s="657"/>
      <c r="N679" s="657">
        <f>SUM(M680:M682)</f>
        <v>3127538</v>
      </c>
      <c r="S679" s="578"/>
    </row>
    <row r="680" spans="3:19" ht="12.75">
      <c r="C680" s="587"/>
      <c r="D680" s="686"/>
      <c r="E680" s="588" t="s">
        <v>25</v>
      </c>
      <c r="F680" s="595"/>
      <c r="G680" s="590"/>
      <c r="H680" s="591"/>
      <c r="I680" s="653"/>
      <c r="J680" s="592" t="s">
        <v>134</v>
      </c>
      <c r="K680" s="598">
        <v>1.03</v>
      </c>
      <c r="L680" s="658">
        <f>$N$114</f>
        <v>590600</v>
      </c>
      <c r="M680" s="658">
        <f>K680*L680</f>
        <v>608318</v>
      </c>
      <c r="N680" s="657"/>
      <c r="O680" s="575"/>
      <c r="P680" s="558"/>
      <c r="Q680" s="715"/>
      <c r="R680" s="714"/>
      <c r="S680" s="602"/>
    </row>
    <row r="681" spans="3:19" ht="12.75">
      <c r="C681" s="587"/>
      <c r="D681" s="686"/>
      <c r="E681" s="588" t="s">
        <v>27</v>
      </c>
      <c r="F681" s="595"/>
      <c r="G681" s="590"/>
      <c r="H681" s="591"/>
      <c r="I681" s="653"/>
      <c r="J681" s="592" t="s">
        <v>148</v>
      </c>
      <c r="K681" s="598">
        <f>G679</f>
        <v>110</v>
      </c>
      <c r="L681" s="658">
        <f>$N$123</f>
        <v>10951</v>
      </c>
      <c r="M681" s="658">
        <f>K681*L681</f>
        <v>1204610</v>
      </c>
      <c r="N681" s="657"/>
      <c r="O681" s="575"/>
      <c r="P681" s="558"/>
      <c r="Q681" s="715"/>
      <c r="R681" s="714"/>
      <c r="S681" s="602"/>
    </row>
    <row r="682" spans="3:19" ht="12.75">
      <c r="C682" s="587"/>
      <c r="D682" s="686"/>
      <c r="E682" s="588" t="s">
        <v>887</v>
      </c>
      <c r="F682" s="595"/>
      <c r="G682" s="590"/>
      <c r="H682" s="591"/>
      <c r="I682" s="653"/>
      <c r="J682" s="592" t="s">
        <v>149</v>
      </c>
      <c r="K682" s="598">
        <f>1/0.1</f>
        <v>10</v>
      </c>
      <c r="L682" s="658">
        <f>$N$163</f>
        <v>131461</v>
      </c>
      <c r="M682" s="658">
        <f>K682*L682</f>
        <v>1314610</v>
      </c>
      <c r="N682" s="659"/>
      <c r="O682" s="575"/>
      <c r="P682" s="558"/>
      <c r="Q682" s="582"/>
      <c r="R682" s="714"/>
      <c r="S682" s="602"/>
    </row>
    <row r="683" spans="3:19" ht="12.75">
      <c r="C683" s="587"/>
      <c r="D683" s="686"/>
      <c r="E683" s="588"/>
      <c r="F683" s="595"/>
      <c r="G683" s="590"/>
      <c r="H683" s="591"/>
      <c r="I683" s="653"/>
      <c r="J683" s="592"/>
      <c r="K683" s="598"/>
      <c r="L683" s="658"/>
      <c r="M683" s="658"/>
      <c r="N683" s="659"/>
      <c r="O683" s="575"/>
      <c r="P683" s="558"/>
      <c r="Q683" s="582"/>
      <c r="R683" s="714"/>
      <c r="S683" s="602"/>
    </row>
    <row r="684" spans="3:19" s="586" customFormat="1" ht="12.75">
      <c r="C684" s="694">
        <f>C679+1</f>
        <v>10</v>
      </c>
      <c r="D684" s="688"/>
      <c r="E684" s="687" t="s">
        <v>865</v>
      </c>
      <c r="F684" s="691"/>
      <c r="G684" s="689">
        <v>361</v>
      </c>
      <c r="H684" s="693" t="s">
        <v>169</v>
      </c>
      <c r="I684" s="684"/>
      <c r="J684" s="669" t="s">
        <v>109</v>
      </c>
      <c r="K684" s="661"/>
      <c r="L684" s="657"/>
      <c r="M684" s="657"/>
      <c r="N684" s="657">
        <f>SUM(M685:M687)</f>
        <v>6060086.45</v>
      </c>
      <c r="O684" s="575"/>
      <c r="P684" s="558"/>
      <c r="Q684" s="582"/>
      <c r="R684" s="714"/>
      <c r="S684" s="602"/>
    </row>
    <row r="685" spans="3:19" ht="12.75">
      <c r="C685" s="587"/>
      <c r="D685" s="686"/>
      <c r="E685" s="588" t="s">
        <v>25</v>
      </c>
      <c r="F685" s="595"/>
      <c r="G685" s="590"/>
      <c r="H685" s="591"/>
      <c r="I685" s="653"/>
      <c r="J685" s="592" t="s">
        <v>134</v>
      </c>
      <c r="K685" s="598">
        <v>1.03</v>
      </c>
      <c r="L685" s="658">
        <f>$N$114</f>
        <v>590600</v>
      </c>
      <c r="M685" s="658">
        <f>K685*L685</f>
        <v>608318</v>
      </c>
      <c r="N685" s="657"/>
      <c r="O685" s="575"/>
      <c r="P685" s="558"/>
      <c r="Q685" s="582"/>
      <c r="R685" s="714"/>
      <c r="S685" s="602"/>
    </row>
    <row r="686" spans="3:19" ht="12.75">
      <c r="C686" s="587"/>
      <c r="D686" s="686"/>
      <c r="E686" s="588" t="s">
        <v>27</v>
      </c>
      <c r="F686" s="595"/>
      <c r="G686" s="590"/>
      <c r="H686" s="591"/>
      <c r="I686" s="653"/>
      <c r="J686" s="592" t="s">
        <v>148</v>
      </c>
      <c r="K686" s="598">
        <f>G684</f>
        <v>361</v>
      </c>
      <c r="L686" s="658">
        <f>$N$123</f>
        <v>10951</v>
      </c>
      <c r="M686" s="658">
        <f>K686*L686</f>
        <v>3953311</v>
      </c>
      <c r="N686" s="657"/>
      <c r="O686" s="575"/>
      <c r="P686" s="558"/>
      <c r="Q686" s="582"/>
      <c r="R686" s="714"/>
      <c r="S686" s="602"/>
    </row>
    <row r="687" spans="3:19" ht="12.75">
      <c r="C687" s="587"/>
      <c r="D687" s="686"/>
      <c r="E687" s="588" t="s">
        <v>178</v>
      </c>
      <c r="F687" s="595"/>
      <c r="G687" s="590"/>
      <c r="H687" s="591"/>
      <c r="I687" s="653"/>
      <c r="J687" s="592" t="s">
        <v>149</v>
      </c>
      <c r="K687" s="664">
        <v>12.95</v>
      </c>
      <c r="L687" s="658">
        <f>$N$151</f>
        <v>115711</v>
      </c>
      <c r="M687" s="658">
        <f>K687*L687</f>
        <v>1498457.45</v>
      </c>
      <c r="N687" s="659"/>
      <c r="O687" s="575"/>
      <c r="P687" s="558"/>
      <c r="Q687" s="582"/>
      <c r="R687" s="714"/>
      <c r="S687" s="602"/>
    </row>
    <row r="688" spans="3:19" ht="12.75">
      <c r="C688" s="587"/>
      <c r="D688" s="686"/>
      <c r="E688" s="588"/>
      <c r="F688" s="595"/>
      <c r="G688" s="590"/>
      <c r="H688" s="591"/>
      <c r="I688" s="653"/>
      <c r="J688" s="592"/>
      <c r="K688" s="598"/>
      <c r="L688" s="658"/>
      <c r="M688" s="658"/>
      <c r="N688" s="659"/>
      <c r="O688" s="575"/>
      <c r="P688" s="558"/>
      <c r="Q688" s="582"/>
      <c r="R688" s="714"/>
      <c r="S688" s="602"/>
    </row>
    <row r="689" spans="3:19" s="586" customFormat="1" ht="12.75">
      <c r="C689" s="694">
        <f>C684+1</f>
        <v>11</v>
      </c>
      <c r="D689" s="688"/>
      <c r="E689" s="687" t="s">
        <v>655</v>
      </c>
      <c r="F689" s="691"/>
      <c r="G689" s="689">
        <v>58</v>
      </c>
      <c r="H689" s="693" t="s">
        <v>169</v>
      </c>
      <c r="I689" s="684"/>
      <c r="J689" s="669" t="s">
        <v>109</v>
      </c>
      <c r="K689" s="661"/>
      <c r="L689" s="657"/>
      <c r="M689" s="657"/>
      <c r="N689" s="657">
        <f>SUM(M690:M692)</f>
        <v>2559400.61</v>
      </c>
      <c r="S689" s="578"/>
    </row>
    <row r="690" spans="3:14" ht="12.75">
      <c r="C690" s="587"/>
      <c r="D690" s="686"/>
      <c r="E690" s="588" t="s">
        <v>25</v>
      </c>
      <c r="F690" s="595"/>
      <c r="G690" s="590"/>
      <c r="H690" s="591"/>
      <c r="I690" s="653"/>
      <c r="J690" s="592" t="s">
        <v>134</v>
      </c>
      <c r="K690" s="598">
        <v>1.03</v>
      </c>
      <c r="L690" s="658">
        <f>$N$114</f>
        <v>590600</v>
      </c>
      <c r="M690" s="658">
        <f>K690*L690</f>
        <v>608318</v>
      </c>
      <c r="N690" s="657"/>
    </row>
    <row r="691" spans="3:14" ht="12.75">
      <c r="C691" s="587"/>
      <c r="D691" s="686"/>
      <c r="E691" s="588" t="s">
        <v>27</v>
      </c>
      <c r="F691" s="595"/>
      <c r="G691" s="590"/>
      <c r="H691" s="591"/>
      <c r="I691" s="653"/>
      <c r="J691" s="592" t="s">
        <v>148</v>
      </c>
      <c r="K691" s="598">
        <f>G689</f>
        <v>58</v>
      </c>
      <c r="L691" s="658">
        <f>$N$123</f>
        <v>10951</v>
      </c>
      <c r="M691" s="658">
        <f>K691*L691</f>
        <v>635158</v>
      </c>
      <c r="N691" s="657"/>
    </row>
    <row r="692" spans="3:14" ht="12.75">
      <c r="C692" s="587"/>
      <c r="D692" s="686"/>
      <c r="E692" s="588" t="s">
        <v>887</v>
      </c>
      <c r="F692" s="595"/>
      <c r="G692" s="590"/>
      <c r="H692" s="591"/>
      <c r="I692" s="653"/>
      <c r="J692" s="592" t="s">
        <v>149</v>
      </c>
      <c r="K692" s="664">
        <v>10.01</v>
      </c>
      <c r="L692" s="658">
        <f>$N$163</f>
        <v>131461</v>
      </c>
      <c r="M692" s="658">
        <f>K692*L692</f>
        <v>1315924.6099999999</v>
      </c>
      <c r="N692" s="659"/>
    </row>
    <row r="693" spans="3:14" ht="12.75">
      <c r="C693" s="587"/>
      <c r="D693" s="686"/>
      <c r="E693" s="588"/>
      <c r="F693" s="595"/>
      <c r="G693" s="590"/>
      <c r="H693" s="591"/>
      <c r="I693" s="653"/>
      <c r="J693" s="592"/>
      <c r="K693" s="598"/>
      <c r="L693" s="658"/>
      <c r="M693" s="658"/>
      <c r="N693" s="659"/>
    </row>
    <row r="694" spans="3:14" ht="12.75">
      <c r="C694" s="587"/>
      <c r="D694" s="686"/>
      <c r="E694" s="691" t="s">
        <v>255</v>
      </c>
      <c r="F694" s="595"/>
      <c r="G694" s="707"/>
      <c r="H694" s="591"/>
      <c r="I694" s="683"/>
      <c r="J694" s="597"/>
      <c r="K694" s="597"/>
      <c r="L694" s="656"/>
      <c r="M694" s="656"/>
      <c r="N694" s="657"/>
    </row>
    <row r="695" spans="3:14" ht="12.75">
      <c r="C695" s="694">
        <v>1</v>
      </c>
      <c r="D695" s="686"/>
      <c r="E695" s="691" t="s">
        <v>1227</v>
      </c>
      <c r="F695" s="709"/>
      <c r="G695" s="590"/>
      <c r="H695" s="596"/>
      <c r="I695" s="651"/>
      <c r="J695" s="592"/>
      <c r="K695" s="664"/>
      <c r="L695" s="658"/>
      <c r="M695" s="658"/>
      <c r="N695" s="657"/>
    </row>
    <row r="696" spans="3:14" ht="12.75">
      <c r="C696" s="694"/>
      <c r="D696" s="686"/>
      <c r="E696" s="588" t="s">
        <v>120</v>
      </c>
      <c r="F696" s="709"/>
      <c r="G696" s="590"/>
      <c r="H696" s="596"/>
      <c r="I696" s="651"/>
      <c r="J696" s="592" t="s">
        <v>134</v>
      </c>
      <c r="K696" s="685"/>
      <c r="L696" s="648">
        <f>$N$626</f>
        <v>2727535.3333333335</v>
      </c>
      <c r="M696" s="658">
        <f aca="true" t="shared" si="37" ref="M696:M704">L696*K696</f>
        <v>0</v>
      </c>
      <c r="N696" s="657">
        <f>SUM(M696:M704)</f>
        <v>2269000</v>
      </c>
    </row>
    <row r="697" spans="3:14" ht="12.75">
      <c r="C697" s="694"/>
      <c r="D697" s="686"/>
      <c r="E697" s="595" t="s">
        <v>1153</v>
      </c>
      <c r="F697" s="709"/>
      <c r="G697" s="590"/>
      <c r="H697" s="596"/>
      <c r="I697" s="651"/>
      <c r="J697" s="592" t="s">
        <v>153</v>
      </c>
      <c r="K697" s="685">
        <f>+Sheet2!C50</f>
        <v>7</v>
      </c>
      <c r="L697" s="648">
        <f>Bhn!$M$73</f>
        <v>45000</v>
      </c>
      <c r="M697" s="658">
        <f t="shared" si="37"/>
        <v>315000</v>
      </c>
      <c r="N697" s="657"/>
    </row>
    <row r="698" spans="3:14" ht="12.75" hidden="1">
      <c r="C698" s="694"/>
      <c r="D698" s="686"/>
      <c r="E698" s="700" t="s">
        <v>967</v>
      </c>
      <c r="F698" s="709"/>
      <c r="G698" s="590"/>
      <c r="H698" s="596"/>
      <c r="I698" s="651"/>
      <c r="J698" s="592" t="s">
        <v>149</v>
      </c>
      <c r="K698" s="685"/>
      <c r="L698" s="648">
        <f>ANALISA!N226</f>
        <v>135758</v>
      </c>
      <c r="M698" s="658">
        <f t="shared" si="37"/>
        <v>0</v>
      </c>
      <c r="N698" s="657"/>
    </row>
    <row r="699" spans="3:14" ht="12.75" hidden="1">
      <c r="C699" s="694"/>
      <c r="D699" s="686"/>
      <c r="E699" s="588" t="s">
        <v>933</v>
      </c>
      <c r="F699" s="709"/>
      <c r="G699" s="590"/>
      <c r="H699" s="596"/>
      <c r="I699" s="651"/>
      <c r="J699" s="592" t="s">
        <v>149</v>
      </c>
      <c r="K699" s="685"/>
      <c r="L699" s="648">
        <f>Bhn!$M$82</f>
        <v>425000</v>
      </c>
      <c r="M699" s="658">
        <f t="shared" si="37"/>
        <v>0</v>
      </c>
      <c r="N699" s="657"/>
    </row>
    <row r="700" spans="3:14" ht="12.75">
      <c r="C700" s="694"/>
      <c r="D700" s="686"/>
      <c r="E700" s="588" t="s">
        <v>945</v>
      </c>
      <c r="F700" s="709"/>
      <c r="G700" s="590"/>
      <c r="H700" s="596"/>
      <c r="I700" s="651"/>
      <c r="J700" s="592" t="s">
        <v>149</v>
      </c>
      <c r="K700" s="685">
        <f>+Sheet2!E50</f>
        <v>2.4</v>
      </c>
      <c r="L700" s="648">
        <f>Bhn!M79</f>
        <v>285000</v>
      </c>
      <c r="M700" s="658">
        <f t="shared" si="37"/>
        <v>684000</v>
      </c>
      <c r="N700" s="657"/>
    </row>
    <row r="701" spans="3:14" ht="12.75">
      <c r="C701" s="587"/>
      <c r="D701" s="686"/>
      <c r="E701" s="595" t="s">
        <v>1280</v>
      </c>
      <c r="F701" s="709"/>
      <c r="G701" s="590"/>
      <c r="H701" s="596"/>
      <c r="I701" s="651"/>
      <c r="J701" s="592" t="s">
        <v>139</v>
      </c>
      <c r="K701" s="685">
        <v>2</v>
      </c>
      <c r="L701" s="648">
        <v>350000</v>
      </c>
      <c r="M701" s="658">
        <f>L701*K701</f>
        <v>700000</v>
      </c>
      <c r="N701" s="657"/>
    </row>
    <row r="702" spans="3:14" ht="12.75" hidden="1">
      <c r="C702" s="694"/>
      <c r="D702" s="686"/>
      <c r="E702" s="595" t="s">
        <v>543</v>
      </c>
      <c r="F702" s="709"/>
      <c r="G702" s="590"/>
      <c r="H702" s="596"/>
      <c r="I702" s="651"/>
      <c r="J702" s="592" t="s">
        <v>161</v>
      </c>
      <c r="K702" s="685"/>
      <c r="L702" s="648">
        <f>Bhn!$M$86</f>
        <v>1250000</v>
      </c>
      <c r="M702" s="658">
        <f t="shared" si="37"/>
        <v>0</v>
      </c>
      <c r="N702" s="657"/>
    </row>
    <row r="703" spans="3:14" ht="12.75">
      <c r="C703" s="694"/>
      <c r="D703" s="686"/>
      <c r="E703" s="588" t="s">
        <v>249</v>
      </c>
      <c r="F703" s="709"/>
      <c r="G703" s="590"/>
      <c r="H703" s="596"/>
      <c r="I703" s="651"/>
      <c r="J703" s="592" t="s">
        <v>139</v>
      </c>
      <c r="K703" s="685">
        <v>4</v>
      </c>
      <c r="L703" s="648">
        <f>Bhn!$M$94</f>
        <v>17500</v>
      </c>
      <c r="M703" s="658">
        <f t="shared" si="37"/>
        <v>70000</v>
      </c>
      <c r="N703" s="657"/>
    </row>
    <row r="704" spans="3:14" ht="12.75">
      <c r="C704" s="694"/>
      <c r="D704" s="686"/>
      <c r="E704" s="595" t="s">
        <v>935</v>
      </c>
      <c r="F704" s="709"/>
      <c r="G704" s="590"/>
      <c r="H704" s="596"/>
      <c r="I704" s="651"/>
      <c r="J704" s="592" t="s">
        <v>139</v>
      </c>
      <c r="K704" s="685">
        <v>2</v>
      </c>
      <c r="L704" s="648">
        <f>Bhn!$M$88</f>
        <v>250000</v>
      </c>
      <c r="M704" s="658">
        <f t="shared" si="37"/>
        <v>500000</v>
      </c>
      <c r="N704" s="657"/>
    </row>
    <row r="705" spans="3:14" ht="12.75">
      <c r="C705" s="694"/>
      <c r="D705" s="686"/>
      <c r="E705" s="595"/>
      <c r="F705" s="709"/>
      <c r="G705" s="590"/>
      <c r="H705" s="596"/>
      <c r="I705" s="651"/>
      <c r="J705" s="592"/>
      <c r="K705" s="664"/>
      <c r="L705" s="648"/>
      <c r="M705" s="658"/>
      <c r="N705" s="657"/>
    </row>
    <row r="706" spans="3:14" ht="12.75">
      <c r="C706" s="694">
        <f>C695+1</f>
        <v>2</v>
      </c>
      <c r="D706" s="688"/>
      <c r="E706" s="691" t="s">
        <v>544</v>
      </c>
      <c r="F706" s="709"/>
      <c r="G706" s="590"/>
      <c r="H706" s="596"/>
      <c r="I706" s="651"/>
      <c r="J706" s="592"/>
      <c r="K706" s="664"/>
      <c r="L706" s="648"/>
      <c r="M706" s="658"/>
      <c r="N706" s="657">
        <f>SUM(M707:M713)</f>
        <v>717040</v>
      </c>
    </row>
    <row r="707" spans="3:14" ht="12.75">
      <c r="C707" s="694"/>
      <c r="D707" s="686"/>
      <c r="E707" s="595" t="s">
        <v>1229</v>
      </c>
      <c r="F707" s="709"/>
      <c r="G707" s="590"/>
      <c r="H707" s="596"/>
      <c r="I707" s="651"/>
      <c r="J707" s="592" t="s">
        <v>134</v>
      </c>
      <c r="K707" s="685">
        <f>+Sheet2!C52*0.06*0.12</f>
        <v>0.04464</v>
      </c>
      <c r="L707" s="648">
        <f>+Bhn!$I$54</f>
        <v>4750000</v>
      </c>
      <c r="M707" s="658">
        <f aca="true" t="shared" si="38" ref="M707:M713">L707*K707</f>
        <v>212040</v>
      </c>
      <c r="N707" s="657"/>
    </row>
    <row r="708" spans="3:14" ht="12.75">
      <c r="C708" s="694"/>
      <c r="D708" s="686"/>
      <c r="E708" s="595" t="s">
        <v>1230</v>
      </c>
      <c r="F708" s="709"/>
      <c r="G708" s="590"/>
      <c r="H708" s="596"/>
      <c r="I708" s="651"/>
      <c r="J708" s="592" t="s">
        <v>161</v>
      </c>
      <c r="K708" s="685">
        <v>1</v>
      </c>
      <c r="L708" s="648">
        <v>310000</v>
      </c>
      <c r="M708" s="658">
        <f t="shared" si="38"/>
        <v>310000</v>
      </c>
      <c r="N708" s="657"/>
    </row>
    <row r="709" spans="3:14" ht="12.75">
      <c r="C709" s="694"/>
      <c r="D709" s="686"/>
      <c r="E709" s="588" t="s">
        <v>936</v>
      </c>
      <c r="F709" s="709"/>
      <c r="G709" s="590"/>
      <c r="H709" s="596"/>
      <c r="I709" s="651"/>
      <c r="J709" s="592" t="s">
        <v>149</v>
      </c>
      <c r="K709" s="685">
        <v>0</v>
      </c>
      <c r="L709" s="648">
        <f>Bhn!$M$79</f>
        <v>285000</v>
      </c>
      <c r="M709" s="658">
        <f t="shared" si="38"/>
        <v>0</v>
      </c>
      <c r="N709" s="657"/>
    </row>
    <row r="710" spans="3:14" ht="12.75">
      <c r="C710" s="694"/>
      <c r="D710" s="686"/>
      <c r="E710" s="588" t="s">
        <v>939</v>
      </c>
      <c r="F710" s="709"/>
      <c r="G710" s="590"/>
      <c r="H710" s="596"/>
      <c r="I710" s="651"/>
      <c r="J710" s="592" t="s">
        <v>139</v>
      </c>
      <c r="K710" s="685">
        <v>1</v>
      </c>
      <c r="L710" s="648">
        <f>Bhn!$M$92</f>
        <v>160000</v>
      </c>
      <c r="M710" s="658">
        <f t="shared" si="38"/>
        <v>160000</v>
      </c>
      <c r="N710" s="657"/>
    </row>
    <row r="711" spans="3:14" ht="12.75">
      <c r="C711" s="694"/>
      <c r="D711" s="686"/>
      <c r="E711" s="588" t="s">
        <v>249</v>
      </c>
      <c r="F711" s="709"/>
      <c r="G711" s="590"/>
      <c r="H711" s="596"/>
      <c r="I711" s="651"/>
      <c r="J711" s="592" t="s">
        <v>139</v>
      </c>
      <c r="K711" s="685">
        <v>2</v>
      </c>
      <c r="L711" s="648">
        <f>Bhn!$M$94</f>
        <v>17500</v>
      </c>
      <c r="M711" s="658">
        <f t="shared" si="38"/>
        <v>35000</v>
      </c>
      <c r="N711" s="657"/>
    </row>
    <row r="712" spans="3:14" ht="12.75">
      <c r="C712" s="694"/>
      <c r="D712" s="686"/>
      <c r="E712" s="595" t="s">
        <v>84</v>
      </c>
      <c r="F712" s="709"/>
      <c r="G712" s="590"/>
      <c r="H712" s="596"/>
      <c r="I712" s="651"/>
      <c r="J712" s="592" t="s">
        <v>139</v>
      </c>
      <c r="K712" s="685"/>
      <c r="L712" s="648">
        <f>Bhn!$M$85</f>
        <v>15000</v>
      </c>
      <c r="M712" s="658">
        <f t="shared" si="38"/>
        <v>0</v>
      </c>
      <c r="N712" s="657"/>
    </row>
    <row r="713" spans="3:14" ht="12.75">
      <c r="C713" s="694"/>
      <c r="D713" s="686"/>
      <c r="E713" s="595" t="s">
        <v>940</v>
      </c>
      <c r="F713" s="709"/>
      <c r="G713" s="590"/>
      <c r="H713" s="596"/>
      <c r="I713" s="651"/>
      <c r="J713" s="592" t="s">
        <v>139</v>
      </c>
      <c r="K713" s="685"/>
      <c r="L713" s="648">
        <f>Bhn!$M$96</f>
        <v>160000</v>
      </c>
      <c r="M713" s="658">
        <f t="shared" si="38"/>
        <v>0</v>
      </c>
      <c r="N713" s="657"/>
    </row>
    <row r="714" spans="3:14" ht="12.75">
      <c r="C714" s="694"/>
      <c r="D714" s="686"/>
      <c r="E714" s="595"/>
      <c r="F714" s="709"/>
      <c r="G714" s="590"/>
      <c r="H714" s="596"/>
      <c r="I714" s="651"/>
      <c r="J714" s="592"/>
      <c r="K714" s="664"/>
      <c r="L714" s="648"/>
      <c r="M714" s="658"/>
      <c r="N714" s="657"/>
    </row>
    <row r="715" spans="3:14" ht="12.75">
      <c r="C715" s="694">
        <f>C704+1</f>
        <v>1</v>
      </c>
      <c r="D715" s="688"/>
      <c r="E715" s="691" t="s">
        <v>545</v>
      </c>
      <c r="F715" s="709"/>
      <c r="G715" s="590"/>
      <c r="H715" s="596"/>
      <c r="I715" s="651"/>
      <c r="J715" s="592"/>
      <c r="K715" s="664"/>
      <c r="L715" s="648"/>
      <c r="M715" s="658"/>
      <c r="N715" s="657">
        <f>SUM(M716:M722)</f>
        <v>710200</v>
      </c>
    </row>
    <row r="716" spans="3:14" ht="12.75">
      <c r="C716" s="694"/>
      <c r="D716" s="686"/>
      <c r="E716" s="595" t="s">
        <v>1229</v>
      </c>
      <c r="F716" s="709"/>
      <c r="G716" s="590"/>
      <c r="H716" s="596"/>
      <c r="I716" s="651"/>
      <c r="J716" s="592" t="s">
        <v>134</v>
      </c>
      <c r="K716" s="685">
        <f>+Sheet2!C53*0.06*0.12</f>
        <v>0.043199999999999995</v>
      </c>
      <c r="L716" s="648">
        <f>+Bhn!$I$54</f>
        <v>4750000</v>
      </c>
      <c r="M716" s="658">
        <f aca="true" t="shared" si="39" ref="M716:M722">L716*K716</f>
        <v>205199.99999999997</v>
      </c>
      <c r="N716" s="657"/>
    </row>
    <row r="717" spans="3:14" ht="12.75">
      <c r="C717" s="694"/>
      <c r="D717" s="686"/>
      <c r="E717" s="595" t="s">
        <v>1230</v>
      </c>
      <c r="F717" s="709"/>
      <c r="G717" s="590"/>
      <c r="H717" s="596"/>
      <c r="I717" s="651"/>
      <c r="J717" s="592" t="s">
        <v>161</v>
      </c>
      <c r="K717" s="685">
        <v>1</v>
      </c>
      <c r="L717" s="648">
        <v>310000</v>
      </c>
      <c r="M717" s="658">
        <f t="shared" si="39"/>
        <v>310000</v>
      </c>
      <c r="N717" s="657"/>
    </row>
    <row r="718" spans="3:14" ht="12.75">
      <c r="C718" s="694"/>
      <c r="D718" s="686"/>
      <c r="E718" s="588" t="s">
        <v>936</v>
      </c>
      <c r="F718" s="709"/>
      <c r="G718" s="590"/>
      <c r="H718" s="596"/>
      <c r="I718" s="651"/>
      <c r="J718" s="592" t="s">
        <v>149</v>
      </c>
      <c r="K718" s="685">
        <v>0</v>
      </c>
      <c r="L718" s="648">
        <f>Bhn!$M$79</f>
        <v>285000</v>
      </c>
      <c r="M718" s="658">
        <f t="shared" si="39"/>
        <v>0</v>
      </c>
      <c r="N718" s="657"/>
    </row>
    <row r="719" spans="3:14" ht="12.75">
      <c r="C719" s="694"/>
      <c r="D719" s="686"/>
      <c r="E719" s="588" t="s">
        <v>939</v>
      </c>
      <c r="F719" s="709"/>
      <c r="G719" s="590"/>
      <c r="H719" s="596"/>
      <c r="I719" s="651"/>
      <c r="J719" s="592" t="s">
        <v>139</v>
      </c>
      <c r="K719" s="685">
        <v>1</v>
      </c>
      <c r="L719" s="648">
        <f>Bhn!$M$92</f>
        <v>160000</v>
      </c>
      <c r="M719" s="658">
        <f t="shared" si="39"/>
        <v>160000</v>
      </c>
      <c r="N719" s="657"/>
    </row>
    <row r="720" spans="3:14" ht="12.75">
      <c r="C720" s="694"/>
      <c r="D720" s="686"/>
      <c r="E720" s="588" t="s">
        <v>249</v>
      </c>
      <c r="F720" s="709"/>
      <c r="G720" s="590"/>
      <c r="H720" s="596"/>
      <c r="I720" s="651"/>
      <c r="J720" s="592" t="s">
        <v>139</v>
      </c>
      <c r="K720" s="685">
        <v>2</v>
      </c>
      <c r="L720" s="648">
        <f>Bhn!$M$94</f>
        <v>17500</v>
      </c>
      <c r="M720" s="658">
        <f t="shared" si="39"/>
        <v>35000</v>
      </c>
      <c r="N720" s="657"/>
    </row>
    <row r="721" spans="3:14" ht="12.75">
      <c r="C721" s="694"/>
      <c r="D721" s="686"/>
      <c r="E721" s="595" t="s">
        <v>84</v>
      </c>
      <c r="F721" s="709"/>
      <c r="G721" s="590"/>
      <c r="H721" s="596"/>
      <c r="I721" s="651"/>
      <c r="J721" s="592" t="s">
        <v>139</v>
      </c>
      <c r="K721" s="685"/>
      <c r="L721" s="648">
        <f>Bhn!$M$85</f>
        <v>15000</v>
      </c>
      <c r="M721" s="658">
        <f t="shared" si="39"/>
        <v>0</v>
      </c>
      <c r="N721" s="657"/>
    </row>
    <row r="722" spans="3:14" ht="12.75">
      <c r="C722" s="694"/>
      <c r="D722" s="686"/>
      <c r="E722" s="595" t="s">
        <v>940</v>
      </c>
      <c r="F722" s="709"/>
      <c r="G722" s="590"/>
      <c r="H722" s="596"/>
      <c r="I722" s="651"/>
      <c r="J722" s="592" t="s">
        <v>139</v>
      </c>
      <c r="K722" s="685"/>
      <c r="L722" s="648">
        <f>Bhn!$M$96</f>
        <v>160000</v>
      </c>
      <c r="M722" s="658">
        <f t="shared" si="39"/>
        <v>0</v>
      </c>
      <c r="N722" s="657"/>
    </row>
    <row r="723" spans="3:14" ht="12.75">
      <c r="C723" s="694"/>
      <c r="D723" s="686"/>
      <c r="E723" s="595"/>
      <c r="F723" s="709"/>
      <c r="G723" s="590"/>
      <c r="H723" s="596"/>
      <c r="I723" s="651"/>
      <c r="J723" s="592"/>
      <c r="K723" s="685"/>
      <c r="L723" s="648"/>
      <c r="M723" s="658"/>
      <c r="N723" s="657"/>
    </row>
    <row r="724" spans="3:14" ht="12.75">
      <c r="C724" s="694">
        <f>+C843+1</f>
        <v>10</v>
      </c>
      <c r="D724" s="688"/>
      <c r="E724" s="691" t="s">
        <v>1231</v>
      </c>
      <c r="F724" s="709"/>
      <c r="G724" s="590"/>
      <c r="H724" s="596"/>
      <c r="I724" s="651"/>
      <c r="J724" s="592"/>
      <c r="K724" s="664"/>
      <c r="L724" s="648"/>
      <c r="M724" s="658"/>
      <c r="N724" s="657">
        <f>SUM(M725:M729)</f>
        <v>754750</v>
      </c>
    </row>
    <row r="725" spans="3:14" ht="12.75">
      <c r="C725" s="587"/>
      <c r="D725" s="686"/>
      <c r="E725" s="595" t="s">
        <v>1153</v>
      </c>
      <c r="F725" s="709"/>
      <c r="G725" s="590"/>
      <c r="H725" s="596"/>
      <c r="I725" s="651"/>
      <c r="J725" s="592" t="s">
        <v>153</v>
      </c>
      <c r="K725" s="685">
        <v>5.05</v>
      </c>
      <c r="L725" s="648">
        <f>$L$697</f>
        <v>45000</v>
      </c>
      <c r="M725" s="658">
        <f>L725*K725</f>
        <v>227250</v>
      </c>
      <c r="N725" s="657"/>
    </row>
    <row r="726" spans="3:14" ht="12.75">
      <c r="C726" s="587"/>
      <c r="D726" s="686"/>
      <c r="E726" s="595" t="s">
        <v>244</v>
      </c>
      <c r="F726" s="709"/>
      <c r="G726" s="590"/>
      <c r="H726" s="596"/>
      <c r="I726" s="651"/>
      <c r="J726" s="592" t="s">
        <v>139</v>
      </c>
      <c r="K726" s="685">
        <v>1</v>
      </c>
      <c r="L726" s="648">
        <f>Bhn!$M$67</f>
        <v>300000</v>
      </c>
      <c r="M726" s="658">
        <f>L726*K726</f>
        <v>300000</v>
      </c>
      <c r="N726" s="657"/>
    </row>
    <row r="727" spans="3:14" ht="12.75">
      <c r="C727" s="587"/>
      <c r="D727" s="686"/>
      <c r="E727" s="588" t="s">
        <v>939</v>
      </c>
      <c r="F727" s="709"/>
      <c r="G727" s="590"/>
      <c r="H727" s="596"/>
      <c r="I727" s="651"/>
      <c r="J727" s="592" t="s">
        <v>139</v>
      </c>
      <c r="K727" s="685">
        <v>1</v>
      </c>
      <c r="L727" s="648">
        <f>Bhn!$M$92</f>
        <v>160000</v>
      </c>
      <c r="M727" s="658">
        <f>L727*K727</f>
        <v>160000</v>
      </c>
      <c r="N727" s="657"/>
    </row>
    <row r="728" spans="3:14" ht="12.75">
      <c r="C728" s="587"/>
      <c r="D728" s="686"/>
      <c r="E728" s="588" t="s">
        <v>249</v>
      </c>
      <c r="F728" s="709"/>
      <c r="G728" s="590"/>
      <c r="H728" s="596"/>
      <c r="I728" s="651"/>
      <c r="J728" s="592" t="s">
        <v>139</v>
      </c>
      <c r="K728" s="685">
        <v>3</v>
      </c>
      <c r="L728" s="648">
        <f>Bhn!$M$94</f>
        <v>17500</v>
      </c>
      <c r="M728" s="658">
        <f>L728*K728</f>
        <v>52500</v>
      </c>
      <c r="N728" s="657"/>
    </row>
    <row r="729" spans="3:14" ht="12.75">
      <c r="C729" s="587"/>
      <c r="D729" s="686"/>
      <c r="E729" s="595" t="s">
        <v>84</v>
      </c>
      <c r="F729" s="709"/>
      <c r="G729" s="590"/>
      <c r="H729" s="596"/>
      <c r="I729" s="651"/>
      <c r="J729" s="592" t="s">
        <v>139</v>
      </c>
      <c r="K729" s="685">
        <v>1</v>
      </c>
      <c r="L729" s="648">
        <f>Bhn!$M$85</f>
        <v>15000</v>
      </c>
      <c r="M729" s="658">
        <f>L729*K729</f>
        <v>15000</v>
      </c>
      <c r="N729" s="657"/>
    </row>
    <row r="730" spans="3:14" ht="12.75">
      <c r="C730" s="587"/>
      <c r="D730" s="686"/>
      <c r="E730" s="595"/>
      <c r="F730" s="709"/>
      <c r="G730" s="590"/>
      <c r="H730" s="596"/>
      <c r="I730" s="651"/>
      <c r="J730" s="592"/>
      <c r="K730" s="685"/>
      <c r="L730" s="648"/>
      <c r="M730" s="658"/>
      <c r="N730" s="657"/>
    </row>
    <row r="731" spans="3:14" ht="12.75">
      <c r="C731" s="694">
        <f>+C706+1</f>
        <v>3</v>
      </c>
      <c r="D731" s="688"/>
      <c r="E731" s="691" t="s">
        <v>618</v>
      </c>
      <c r="F731" s="709"/>
      <c r="G731" s="590"/>
      <c r="H731" s="596"/>
      <c r="I731" s="651"/>
      <c r="J731" s="592"/>
      <c r="K731" s="664"/>
      <c r="L731" s="648"/>
      <c r="M731" s="658"/>
      <c r="N731" s="657">
        <f>SUM(M732:M740)</f>
        <v>4632875</v>
      </c>
    </row>
    <row r="732" spans="3:14" ht="12.75">
      <c r="C732" s="694"/>
      <c r="D732" s="686"/>
      <c r="E732" s="595" t="s">
        <v>1153</v>
      </c>
      <c r="F732" s="709"/>
      <c r="G732" s="590"/>
      <c r="H732" s="596"/>
      <c r="I732" s="651"/>
      <c r="J732" s="592" t="s">
        <v>153</v>
      </c>
      <c r="K732" s="685">
        <f>+Sheet2!C55</f>
        <v>8.925</v>
      </c>
      <c r="L732" s="648">
        <f>$L$697</f>
        <v>45000</v>
      </c>
      <c r="M732" s="658">
        <f>L732*K732</f>
        <v>401625.00000000006</v>
      </c>
      <c r="N732" s="657"/>
    </row>
    <row r="733" spans="3:14" ht="12.75">
      <c r="C733" s="587"/>
      <c r="D733" s="686"/>
      <c r="E733" s="595" t="s">
        <v>941</v>
      </c>
      <c r="F733" s="709"/>
      <c r="G733" s="590"/>
      <c r="H733" s="596"/>
      <c r="I733" s="651"/>
      <c r="J733" s="592" t="s">
        <v>149</v>
      </c>
      <c r="K733" s="685">
        <f>1.7*5</f>
        <v>8.5</v>
      </c>
      <c r="L733" s="648">
        <v>220000</v>
      </c>
      <c r="M733" s="658">
        <f>L733*K733</f>
        <v>1870000</v>
      </c>
      <c r="N733" s="657"/>
    </row>
    <row r="734" spans="3:14" ht="12.75">
      <c r="C734" s="587"/>
      <c r="D734" s="686"/>
      <c r="E734" s="588" t="s">
        <v>936</v>
      </c>
      <c r="F734" s="709"/>
      <c r="G734" s="590"/>
      <c r="H734" s="596"/>
      <c r="I734" s="651"/>
      <c r="J734" s="592" t="s">
        <v>149</v>
      </c>
      <c r="K734" s="685">
        <f>+Sheet2!E55</f>
        <v>6.25</v>
      </c>
      <c r="L734" s="648">
        <f>Bhn!$M$79</f>
        <v>285000</v>
      </c>
      <c r="M734" s="658">
        <f>L734*K734</f>
        <v>1781250</v>
      </c>
      <c r="N734" s="657"/>
    </row>
    <row r="735" spans="3:14" ht="12.75">
      <c r="C735" s="587"/>
      <c r="D735" s="686"/>
      <c r="E735" s="588" t="s">
        <v>939</v>
      </c>
      <c r="F735" s="709"/>
      <c r="G735" s="590"/>
      <c r="H735" s="596"/>
      <c r="I735" s="651"/>
      <c r="J735" s="592" t="s">
        <v>139</v>
      </c>
      <c r="K735" s="685">
        <v>1</v>
      </c>
      <c r="L735" s="648">
        <f>Bhn!$M$92</f>
        <v>160000</v>
      </c>
      <c r="M735" s="658">
        <f aca="true" t="shared" si="40" ref="M735:M740">L735*K735</f>
        <v>160000</v>
      </c>
      <c r="N735" s="657"/>
    </row>
    <row r="736" spans="3:14" ht="12.75">
      <c r="C736" s="587"/>
      <c r="D736" s="686"/>
      <c r="E736" s="588" t="s">
        <v>249</v>
      </c>
      <c r="F736" s="709"/>
      <c r="G736" s="590"/>
      <c r="H736" s="596"/>
      <c r="I736" s="651"/>
      <c r="J736" s="592" t="s">
        <v>139</v>
      </c>
      <c r="K736" s="685">
        <v>12</v>
      </c>
      <c r="L736" s="648">
        <f>Bhn!$M$94</f>
        <v>17500</v>
      </c>
      <c r="M736" s="658">
        <f t="shared" si="40"/>
        <v>210000</v>
      </c>
      <c r="N736" s="657"/>
    </row>
    <row r="737" spans="3:14" ht="12.75">
      <c r="C737" s="587"/>
      <c r="D737" s="686"/>
      <c r="E737" s="595" t="s">
        <v>84</v>
      </c>
      <c r="F737" s="709"/>
      <c r="G737" s="590"/>
      <c r="H737" s="596"/>
      <c r="I737" s="651"/>
      <c r="J737" s="592" t="s">
        <v>139</v>
      </c>
      <c r="K737" s="685">
        <v>1</v>
      </c>
      <c r="L737" s="648">
        <f>Bhn!$M$85</f>
        <v>15000</v>
      </c>
      <c r="M737" s="658">
        <f t="shared" si="40"/>
        <v>15000</v>
      </c>
      <c r="N737" s="657"/>
    </row>
    <row r="738" spans="3:14" ht="12.75">
      <c r="C738" s="587"/>
      <c r="D738" s="686"/>
      <c r="E738" s="595" t="s">
        <v>940</v>
      </c>
      <c r="F738" s="709"/>
      <c r="G738" s="590"/>
      <c r="H738" s="596"/>
      <c r="I738" s="651"/>
      <c r="J738" s="592" t="s">
        <v>139</v>
      </c>
      <c r="K738" s="685">
        <v>1</v>
      </c>
      <c r="L738" s="648">
        <f>Bhn!$M$96</f>
        <v>160000</v>
      </c>
      <c r="M738" s="658">
        <f t="shared" si="40"/>
        <v>160000</v>
      </c>
      <c r="N738" s="657"/>
    </row>
    <row r="739" spans="3:14" ht="12.75">
      <c r="C739" s="587"/>
      <c r="D739" s="686"/>
      <c r="E739" s="588" t="s">
        <v>942</v>
      </c>
      <c r="F739" s="709"/>
      <c r="G739" s="590"/>
      <c r="H739" s="596"/>
      <c r="I739" s="651"/>
      <c r="J739" s="592" t="s">
        <v>946</v>
      </c>
      <c r="K739" s="685">
        <v>1</v>
      </c>
      <c r="L739" s="648">
        <f>Bhn!$M$89</f>
        <v>35000</v>
      </c>
      <c r="M739" s="658">
        <f t="shared" si="40"/>
        <v>35000</v>
      </c>
      <c r="N739" s="657"/>
    </row>
    <row r="740" spans="3:14" ht="12.75">
      <c r="C740" s="587"/>
      <c r="D740" s="686"/>
      <c r="E740" s="588" t="s">
        <v>259</v>
      </c>
      <c r="F740" s="709"/>
      <c r="G740" s="590"/>
      <c r="H740" s="596"/>
      <c r="I740" s="651"/>
      <c r="J740" s="592" t="s">
        <v>149</v>
      </c>
      <c r="K740" s="685"/>
      <c r="L740" s="648">
        <v>85000</v>
      </c>
      <c r="M740" s="658">
        <f t="shared" si="40"/>
        <v>0</v>
      </c>
      <c r="N740" s="657"/>
    </row>
    <row r="741" spans="3:14" ht="13.5" customHeight="1">
      <c r="C741" s="587"/>
      <c r="D741" s="686"/>
      <c r="E741" s="595"/>
      <c r="F741" s="709"/>
      <c r="G741" s="590"/>
      <c r="H741" s="596"/>
      <c r="I741" s="651"/>
      <c r="J741" s="592"/>
      <c r="K741" s="664"/>
      <c r="L741" s="648"/>
      <c r="M741" s="658"/>
      <c r="N741" s="657"/>
    </row>
    <row r="742" spans="3:14" ht="12.75">
      <c r="C742" s="694">
        <f>+C717+1</f>
        <v>1</v>
      </c>
      <c r="D742" s="688"/>
      <c r="E742" s="691" t="s">
        <v>547</v>
      </c>
      <c r="F742" s="709"/>
      <c r="G742" s="590"/>
      <c r="H742" s="596"/>
      <c r="I742" s="651"/>
      <c r="J742" s="592"/>
      <c r="K742" s="664"/>
      <c r="L742" s="648"/>
      <c r="M742" s="658"/>
      <c r="N742" s="657">
        <f>SUM(M743:M751)</f>
        <v>2873540</v>
      </c>
    </row>
    <row r="743" spans="3:14" ht="12.75">
      <c r="C743" s="694"/>
      <c r="D743" s="686"/>
      <c r="E743" s="595" t="s">
        <v>1153</v>
      </c>
      <c r="F743" s="709"/>
      <c r="G743" s="590"/>
      <c r="H743" s="596"/>
      <c r="I743" s="651"/>
      <c r="J743" s="592" t="s">
        <v>153</v>
      </c>
      <c r="K743" s="685">
        <f>+Sheet2!C56</f>
        <v>8.5</v>
      </c>
      <c r="L743" s="648">
        <f>$L$697</f>
        <v>45000</v>
      </c>
      <c r="M743" s="658">
        <f>L743*K743</f>
        <v>382500</v>
      </c>
      <c r="N743" s="657"/>
    </row>
    <row r="744" spans="3:14" ht="12.75">
      <c r="C744" s="587"/>
      <c r="D744" s="686"/>
      <c r="E744" s="595" t="s">
        <v>941</v>
      </c>
      <c r="F744" s="709"/>
      <c r="G744" s="590"/>
      <c r="H744" s="596"/>
      <c r="I744" s="651"/>
      <c r="J744" s="592" t="s">
        <v>149</v>
      </c>
      <c r="K744" s="685">
        <f>1.7*5</f>
        <v>8.5</v>
      </c>
      <c r="L744" s="648">
        <v>220000</v>
      </c>
      <c r="M744" s="658">
        <f>L744*K744</f>
        <v>1870000</v>
      </c>
      <c r="N744" s="657"/>
    </row>
    <row r="745" spans="3:14" ht="12.75">
      <c r="C745" s="587"/>
      <c r="D745" s="686"/>
      <c r="E745" s="588" t="s">
        <v>936</v>
      </c>
      <c r="F745" s="709"/>
      <c r="G745" s="590"/>
      <c r="H745" s="596"/>
      <c r="I745" s="651"/>
      <c r="J745" s="592" t="s">
        <v>149</v>
      </c>
      <c r="K745" s="685">
        <f>+Sheet2!E66</f>
        <v>0.144</v>
      </c>
      <c r="L745" s="648">
        <f>Bhn!$M$79</f>
        <v>285000</v>
      </c>
      <c r="M745" s="658">
        <f>L745*K745</f>
        <v>41040</v>
      </c>
      <c r="N745" s="657"/>
    </row>
    <row r="746" spans="3:14" ht="12.75">
      <c r="C746" s="587"/>
      <c r="D746" s="686"/>
      <c r="E746" s="588" t="s">
        <v>939</v>
      </c>
      <c r="F746" s="709"/>
      <c r="G746" s="590"/>
      <c r="H746" s="596"/>
      <c r="I746" s="651"/>
      <c r="J746" s="592" t="s">
        <v>139</v>
      </c>
      <c r="K746" s="685">
        <v>1</v>
      </c>
      <c r="L746" s="648">
        <f>Bhn!$M$92</f>
        <v>160000</v>
      </c>
      <c r="M746" s="658">
        <f aca="true" t="shared" si="41" ref="M746:M751">L746*K746</f>
        <v>160000</v>
      </c>
      <c r="N746" s="657"/>
    </row>
    <row r="747" spans="3:14" ht="12.75">
      <c r="C747" s="587"/>
      <c r="D747" s="686"/>
      <c r="E747" s="588" t="s">
        <v>249</v>
      </c>
      <c r="F747" s="709"/>
      <c r="G747" s="590"/>
      <c r="H747" s="596"/>
      <c r="I747" s="651"/>
      <c r="J747" s="592" t="s">
        <v>139</v>
      </c>
      <c r="K747" s="685">
        <v>12</v>
      </c>
      <c r="L747" s="648">
        <f>Bhn!$M$94</f>
        <v>17500</v>
      </c>
      <c r="M747" s="658">
        <f t="shared" si="41"/>
        <v>210000</v>
      </c>
      <c r="N747" s="657"/>
    </row>
    <row r="748" spans="3:14" ht="12.75">
      <c r="C748" s="587"/>
      <c r="D748" s="686"/>
      <c r="E748" s="595" t="s">
        <v>84</v>
      </c>
      <c r="F748" s="709"/>
      <c r="G748" s="590"/>
      <c r="H748" s="596"/>
      <c r="I748" s="651"/>
      <c r="J748" s="592" t="s">
        <v>139</v>
      </c>
      <c r="K748" s="685">
        <v>1</v>
      </c>
      <c r="L748" s="648">
        <f>Bhn!$M$85</f>
        <v>15000</v>
      </c>
      <c r="M748" s="658">
        <f t="shared" si="41"/>
        <v>15000</v>
      </c>
      <c r="N748" s="657"/>
    </row>
    <row r="749" spans="3:14" ht="12.75">
      <c r="C749" s="587"/>
      <c r="D749" s="686"/>
      <c r="E749" s="595" t="s">
        <v>940</v>
      </c>
      <c r="F749" s="709"/>
      <c r="G749" s="590"/>
      <c r="H749" s="596"/>
      <c r="I749" s="651"/>
      <c r="J749" s="592" t="s">
        <v>139</v>
      </c>
      <c r="K749" s="685">
        <v>1</v>
      </c>
      <c r="L749" s="648">
        <f>Bhn!$M$96</f>
        <v>160000</v>
      </c>
      <c r="M749" s="658">
        <f t="shared" si="41"/>
        <v>160000</v>
      </c>
      <c r="N749" s="657"/>
    </row>
    <row r="750" spans="3:14" ht="12.75">
      <c r="C750" s="587"/>
      <c r="D750" s="686"/>
      <c r="E750" s="588" t="s">
        <v>942</v>
      </c>
      <c r="F750" s="709"/>
      <c r="G750" s="590"/>
      <c r="H750" s="596"/>
      <c r="I750" s="651"/>
      <c r="J750" s="592" t="s">
        <v>946</v>
      </c>
      <c r="K750" s="685">
        <v>1</v>
      </c>
      <c r="L750" s="648">
        <f>Bhn!$M$89</f>
        <v>35000</v>
      </c>
      <c r="M750" s="658">
        <f t="shared" si="41"/>
        <v>35000</v>
      </c>
      <c r="N750" s="657"/>
    </row>
    <row r="751" spans="3:14" ht="12.75">
      <c r="C751" s="587"/>
      <c r="D751" s="686"/>
      <c r="E751" s="588" t="s">
        <v>259</v>
      </c>
      <c r="F751" s="709"/>
      <c r="G751" s="590"/>
      <c r="H751" s="596"/>
      <c r="I751" s="651"/>
      <c r="J751" s="592" t="s">
        <v>149</v>
      </c>
      <c r="K751" s="685"/>
      <c r="L751" s="648">
        <v>85000</v>
      </c>
      <c r="M751" s="658">
        <f t="shared" si="41"/>
        <v>0</v>
      </c>
      <c r="N751" s="657"/>
    </row>
    <row r="752" spans="3:14" ht="12.75">
      <c r="C752" s="587"/>
      <c r="D752" s="686"/>
      <c r="E752" s="588"/>
      <c r="F752" s="709"/>
      <c r="G752" s="590"/>
      <c r="H752" s="596"/>
      <c r="I752" s="651"/>
      <c r="J752" s="592"/>
      <c r="K752" s="685"/>
      <c r="L752" s="648"/>
      <c r="M752" s="658"/>
      <c r="N752" s="657"/>
    </row>
    <row r="753" spans="3:14" ht="12.75">
      <c r="C753" s="694">
        <f>+C728+1</f>
        <v>1</v>
      </c>
      <c r="D753" s="688"/>
      <c r="E753" s="691" t="s">
        <v>1233</v>
      </c>
      <c r="F753" s="709"/>
      <c r="G753" s="590"/>
      <c r="H753" s="596"/>
      <c r="I753" s="651"/>
      <c r="J753" s="592"/>
      <c r="K753" s="664"/>
      <c r="L753" s="648"/>
      <c r="M753" s="658"/>
      <c r="N753" s="657">
        <f>SUM(M754:M762)</f>
        <v>6385750</v>
      </c>
    </row>
    <row r="754" spans="3:14" ht="12.75">
      <c r="C754" s="694"/>
      <c r="D754" s="686"/>
      <c r="E754" s="595" t="s">
        <v>1153</v>
      </c>
      <c r="F754" s="709"/>
      <c r="G754" s="590"/>
      <c r="H754" s="596"/>
      <c r="I754" s="651"/>
      <c r="J754" s="592" t="s">
        <v>153</v>
      </c>
      <c r="K754" s="685">
        <f>+Sheet2!C57</f>
        <v>9.95</v>
      </c>
      <c r="L754" s="648">
        <f>$L$697</f>
        <v>45000</v>
      </c>
      <c r="M754" s="658">
        <f>L754*K754</f>
        <v>447749.99999999994</v>
      </c>
      <c r="N754" s="657"/>
    </row>
    <row r="755" spans="3:14" ht="12.75">
      <c r="C755" s="587"/>
      <c r="D755" s="686"/>
      <c r="E755" s="595" t="s">
        <v>941</v>
      </c>
      <c r="F755" s="709"/>
      <c r="G755" s="590"/>
      <c r="H755" s="596"/>
      <c r="I755" s="651"/>
      <c r="J755" s="592" t="s">
        <v>149</v>
      </c>
      <c r="K755" s="685">
        <f>1.5*8</f>
        <v>12</v>
      </c>
      <c r="L755" s="648">
        <v>220000</v>
      </c>
      <c r="M755" s="658">
        <f>L755*K755</f>
        <v>2640000</v>
      </c>
      <c r="N755" s="657"/>
    </row>
    <row r="756" spans="3:14" ht="12.75">
      <c r="C756" s="587"/>
      <c r="D756" s="686"/>
      <c r="E756" s="588" t="s">
        <v>936</v>
      </c>
      <c r="F756" s="709"/>
      <c r="G756" s="590"/>
      <c r="H756" s="596"/>
      <c r="I756" s="651"/>
      <c r="J756" s="592" t="s">
        <v>149</v>
      </c>
      <c r="K756" s="685">
        <f>+Sheet2!E57</f>
        <v>8.8</v>
      </c>
      <c r="L756" s="648">
        <f>Bhn!$M$79</f>
        <v>285000</v>
      </c>
      <c r="M756" s="658">
        <f>L756*K756</f>
        <v>2508000</v>
      </c>
      <c r="N756" s="657"/>
    </row>
    <row r="757" spans="3:14" ht="12.75">
      <c r="C757" s="587"/>
      <c r="D757" s="686"/>
      <c r="E757" s="588" t="s">
        <v>939</v>
      </c>
      <c r="F757" s="709"/>
      <c r="G757" s="590"/>
      <c r="H757" s="596"/>
      <c r="I757" s="651"/>
      <c r="J757" s="592" t="s">
        <v>139</v>
      </c>
      <c r="K757" s="685">
        <v>1</v>
      </c>
      <c r="L757" s="648">
        <f>Bhn!$M$92</f>
        <v>160000</v>
      </c>
      <c r="M757" s="658">
        <f aca="true" t="shared" si="42" ref="M757:M762">L757*K757</f>
        <v>160000</v>
      </c>
      <c r="N757" s="657"/>
    </row>
    <row r="758" spans="3:14" ht="12.75">
      <c r="C758" s="587"/>
      <c r="D758" s="686"/>
      <c r="E758" s="588" t="s">
        <v>249</v>
      </c>
      <c r="F758" s="709"/>
      <c r="G758" s="590"/>
      <c r="H758" s="596"/>
      <c r="I758" s="651"/>
      <c r="J758" s="592" t="s">
        <v>139</v>
      </c>
      <c r="K758" s="685">
        <f>8*3</f>
        <v>24</v>
      </c>
      <c r="L758" s="648">
        <f>Bhn!$M$94</f>
        <v>17500</v>
      </c>
      <c r="M758" s="658">
        <f t="shared" si="42"/>
        <v>420000</v>
      </c>
      <c r="N758" s="657"/>
    </row>
    <row r="759" spans="3:14" ht="12.75">
      <c r="C759" s="587"/>
      <c r="D759" s="686"/>
      <c r="E759" s="595" t="s">
        <v>84</v>
      </c>
      <c r="F759" s="709"/>
      <c r="G759" s="590"/>
      <c r="H759" s="596"/>
      <c r="I759" s="651"/>
      <c r="J759" s="592" t="s">
        <v>139</v>
      </c>
      <c r="K759" s="685">
        <v>1</v>
      </c>
      <c r="L759" s="648">
        <f>Bhn!$M$85</f>
        <v>15000</v>
      </c>
      <c r="M759" s="658">
        <f t="shared" si="42"/>
        <v>15000</v>
      </c>
      <c r="N759" s="657"/>
    </row>
    <row r="760" spans="3:14" ht="12.75">
      <c r="C760" s="587"/>
      <c r="D760" s="686"/>
      <c r="E760" s="595" t="s">
        <v>940</v>
      </c>
      <c r="F760" s="709"/>
      <c r="G760" s="590"/>
      <c r="H760" s="596"/>
      <c r="I760" s="651"/>
      <c r="J760" s="592" t="s">
        <v>139</v>
      </c>
      <c r="K760" s="685">
        <v>1</v>
      </c>
      <c r="L760" s="648">
        <f>Bhn!$M$96</f>
        <v>160000</v>
      </c>
      <c r="M760" s="658">
        <f t="shared" si="42"/>
        <v>160000</v>
      </c>
      <c r="N760" s="657"/>
    </row>
    <row r="761" spans="3:14" ht="12.75">
      <c r="C761" s="587"/>
      <c r="D761" s="686"/>
      <c r="E761" s="588" t="s">
        <v>942</v>
      </c>
      <c r="F761" s="709"/>
      <c r="G761" s="590"/>
      <c r="H761" s="596"/>
      <c r="I761" s="651"/>
      <c r="J761" s="592" t="s">
        <v>946</v>
      </c>
      <c r="K761" s="685">
        <v>1</v>
      </c>
      <c r="L761" s="648">
        <f>Bhn!$M$89</f>
        <v>35000</v>
      </c>
      <c r="M761" s="658">
        <f t="shared" si="42"/>
        <v>35000</v>
      </c>
      <c r="N761" s="657"/>
    </row>
    <row r="762" spans="3:14" ht="12.75">
      <c r="C762" s="587"/>
      <c r="D762" s="686"/>
      <c r="E762" s="588" t="s">
        <v>259</v>
      </c>
      <c r="F762" s="709"/>
      <c r="G762" s="590"/>
      <c r="H762" s="596"/>
      <c r="I762" s="651"/>
      <c r="J762" s="592" t="s">
        <v>149</v>
      </c>
      <c r="K762" s="685"/>
      <c r="L762" s="648">
        <v>85000</v>
      </c>
      <c r="M762" s="658">
        <f t="shared" si="42"/>
        <v>0</v>
      </c>
      <c r="N762" s="657"/>
    </row>
    <row r="763" spans="3:14" ht="12.75">
      <c r="C763" s="587"/>
      <c r="D763" s="686"/>
      <c r="E763" s="588"/>
      <c r="F763" s="709"/>
      <c r="G763" s="590"/>
      <c r="H763" s="596"/>
      <c r="I763" s="651"/>
      <c r="J763" s="592"/>
      <c r="K763" s="685"/>
      <c r="L763" s="648"/>
      <c r="M763" s="658"/>
      <c r="N763" s="657"/>
    </row>
    <row r="764" spans="3:14" ht="12.75">
      <c r="C764" s="694">
        <f>+C739+1</f>
        <v>1</v>
      </c>
      <c r="D764" s="688"/>
      <c r="E764" s="691" t="s">
        <v>1234</v>
      </c>
      <c r="F764" s="709"/>
      <c r="G764" s="590"/>
      <c r="H764" s="596"/>
      <c r="I764" s="651"/>
      <c r="J764" s="592"/>
      <c r="K764" s="664"/>
      <c r="L764" s="648"/>
      <c r="M764" s="658"/>
      <c r="N764" s="657">
        <f>SUM(M765:M773)</f>
        <v>6080600</v>
      </c>
    </row>
    <row r="765" spans="3:14" ht="12.75">
      <c r="C765" s="694"/>
      <c r="D765" s="686"/>
      <c r="E765" s="595" t="s">
        <v>1153</v>
      </c>
      <c r="F765" s="709"/>
      <c r="G765" s="590"/>
      <c r="H765" s="596"/>
      <c r="I765" s="651"/>
      <c r="J765" s="592" t="s">
        <v>153</v>
      </c>
      <c r="K765" s="685">
        <f>+Sheet2!C58</f>
        <v>9.8</v>
      </c>
      <c r="L765" s="648">
        <f>$L$697</f>
        <v>45000</v>
      </c>
      <c r="M765" s="658">
        <f>L765*K765</f>
        <v>441000.00000000006</v>
      </c>
      <c r="N765" s="657"/>
    </row>
    <row r="766" spans="3:14" ht="12.75">
      <c r="C766" s="587"/>
      <c r="D766" s="686"/>
      <c r="E766" s="595" t="s">
        <v>941</v>
      </c>
      <c r="F766" s="709"/>
      <c r="G766" s="590"/>
      <c r="H766" s="596"/>
      <c r="I766" s="651"/>
      <c r="J766" s="592" t="s">
        <v>149</v>
      </c>
      <c r="K766" s="685">
        <f>1.46*8</f>
        <v>11.68</v>
      </c>
      <c r="L766" s="648">
        <v>220000</v>
      </c>
      <c r="M766" s="658">
        <f>L766*K766</f>
        <v>2569600</v>
      </c>
      <c r="N766" s="657"/>
    </row>
    <row r="767" spans="3:14" ht="12.75">
      <c r="C767" s="587"/>
      <c r="D767" s="686"/>
      <c r="E767" s="588" t="s">
        <v>936</v>
      </c>
      <c r="F767" s="709"/>
      <c r="G767" s="590"/>
      <c r="H767" s="596"/>
      <c r="I767" s="651"/>
      <c r="J767" s="592" t="s">
        <v>149</v>
      </c>
      <c r="K767" s="685">
        <f>+Sheet2!E58</f>
        <v>8</v>
      </c>
      <c r="L767" s="648">
        <f>Bhn!$M$79</f>
        <v>285000</v>
      </c>
      <c r="M767" s="658">
        <f>L767*K767</f>
        <v>2280000</v>
      </c>
      <c r="N767" s="657"/>
    </row>
    <row r="768" spans="3:14" ht="12.75">
      <c r="C768" s="587"/>
      <c r="D768" s="686"/>
      <c r="E768" s="588" t="s">
        <v>939</v>
      </c>
      <c r="F768" s="709"/>
      <c r="G768" s="590"/>
      <c r="H768" s="596"/>
      <c r="I768" s="651"/>
      <c r="J768" s="592" t="s">
        <v>139</v>
      </c>
      <c r="K768" s="685">
        <v>1</v>
      </c>
      <c r="L768" s="648">
        <f>Bhn!$M$92</f>
        <v>160000</v>
      </c>
      <c r="M768" s="658">
        <f aca="true" t="shared" si="43" ref="M768:M773">L768*K768</f>
        <v>160000</v>
      </c>
      <c r="N768" s="657"/>
    </row>
    <row r="769" spans="3:14" ht="12.75">
      <c r="C769" s="587"/>
      <c r="D769" s="686"/>
      <c r="E769" s="588" t="s">
        <v>249</v>
      </c>
      <c r="F769" s="709"/>
      <c r="G769" s="590"/>
      <c r="H769" s="596"/>
      <c r="I769" s="651"/>
      <c r="J769" s="592" t="s">
        <v>139</v>
      </c>
      <c r="K769" s="685">
        <f>8*3</f>
        <v>24</v>
      </c>
      <c r="L769" s="648">
        <f>Bhn!$M$94</f>
        <v>17500</v>
      </c>
      <c r="M769" s="658">
        <f t="shared" si="43"/>
        <v>420000</v>
      </c>
      <c r="N769" s="657"/>
    </row>
    <row r="770" spans="3:14" ht="12.75">
      <c r="C770" s="587"/>
      <c r="D770" s="686"/>
      <c r="E770" s="595" t="s">
        <v>84</v>
      </c>
      <c r="F770" s="709"/>
      <c r="G770" s="590"/>
      <c r="H770" s="596"/>
      <c r="I770" s="651"/>
      <c r="J770" s="592" t="s">
        <v>139</v>
      </c>
      <c r="K770" s="685">
        <v>1</v>
      </c>
      <c r="L770" s="648">
        <f>Bhn!$M$85</f>
        <v>15000</v>
      </c>
      <c r="M770" s="658">
        <f t="shared" si="43"/>
        <v>15000</v>
      </c>
      <c r="N770" s="657"/>
    </row>
    <row r="771" spans="3:14" ht="12.75">
      <c r="C771" s="587"/>
      <c r="D771" s="686"/>
      <c r="E771" s="595" t="s">
        <v>940</v>
      </c>
      <c r="F771" s="709"/>
      <c r="G771" s="590"/>
      <c r="H771" s="596"/>
      <c r="I771" s="651"/>
      <c r="J771" s="592" t="s">
        <v>139</v>
      </c>
      <c r="K771" s="685">
        <v>1</v>
      </c>
      <c r="L771" s="648">
        <f>Bhn!$M$96</f>
        <v>160000</v>
      </c>
      <c r="M771" s="658">
        <f t="shared" si="43"/>
        <v>160000</v>
      </c>
      <c r="N771" s="657"/>
    </row>
    <row r="772" spans="3:14" ht="12.75">
      <c r="C772" s="587"/>
      <c r="D772" s="686"/>
      <c r="E772" s="588" t="s">
        <v>942</v>
      </c>
      <c r="F772" s="709"/>
      <c r="G772" s="590"/>
      <c r="H772" s="596"/>
      <c r="I772" s="651"/>
      <c r="J772" s="592" t="s">
        <v>946</v>
      </c>
      <c r="K772" s="685">
        <v>1</v>
      </c>
      <c r="L772" s="648">
        <f>Bhn!$M$89</f>
        <v>35000</v>
      </c>
      <c r="M772" s="658">
        <f t="shared" si="43"/>
        <v>35000</v>
      </c>
      <c r="N772" s="657"/>
    </row>
    <row r="773" spans="3:14" ht="12.75">
      <c r="C773" s="587"/>
      <c r="D773" s="686"/>
      <c r="E773" s="588" t="s">
        <v>259</v>
      </c>
      <c r="F773" s="709"/>
      <c r="G773" s="590"/>
      <c r="H773" s="596"/>
      <c r="I773" s="651"/>
      <c r="J773" s="592" t="s">
        <v>149</v>
      </c>
      <c r="K773" s="685"/>
      <c r="L773" s="648">
        <v>85000</v>
      </c>
      <c r="M773" s="658">
        <f t="shared" si="43"/>
        <v>0</v>
      </c>
      <c r="N773" s="657"/>
    </row>
    <row r="774" spans="3:14" ht="12.75">
      <c r="C774" s="587"/>
      <c r="D774" s="686"/>
      <c r="E774" s="588"/>
      <c r="F774" s="709"/>
      <c r="G774" s="590"/>
      <c r="H774" s="596"/>
      <c r="I774" s="651"/>
      <c r="J774" s="592"/>
      <c r="K774" s="685"/>
      <c r="L774" s="648"/>
      <c r="M774" s="658"/>
      <c r="N774" s="657"/>
    </row>
    <row r="775" spans="3:14" ht="12.75">
      <c r="C775" s="694">
        <f>C764+1</f>
        <v>2</v>
      </c>
      <c r="D775" s="688"/>
      <c r="E775" s="691" t="s">
        <v>1236</v>
      </c>
      <c r="F775" s="709"/>
      <c r="G775" s="590"/>
      <c r="H775" s="596"/>
      <c r="I775" s="651"/>
      <c r="J775" s="592"/>
      <c r="K775" s="664"/>
      <c r="L775" s="648"/>
      <c r="M775" s="658"/>
      <c r="N775" s="657">
        <f>SUM(M776:M783)</f>
        <v>1072530</v>
      </c>
    </row>
    <row r="776" spans="3:14" ht="12.75">
      <c r="C776" s="694"/>
      <c r="D776" s="686"/>
      <c r="E776" s="595" t="s">
        <v>1229</v>
      </c>
      <c r="F776" s="709"/>
      <c r="G776" s="590"/>
      <c r="H776" s="596"/>
      <c r="I776" s="651"/>
      <c r="J776" s="592" t="s">
        <v>134</v>
      </c>
      <c r="K776" s="685">
        <f>Sheet2!C59*0.06*0.12</f>
        <v>0.06048</v>
      </c>
      <c r="L776" s="648">
        <f>+Bhn!$I$54</f>
        <v>4750000</v>
      </c>
      <c r="M776" s="658">
        <f aca="true" t="shared" si="44" ref="M776:M783">L776*K776</f>
        <v>287280</v>
      </c>
      <c r="N776" s="657"/>
    </row>
    <row r="777" spans="3:14" ht="12.75">
      <c r="C777" s="694"/>
      <c r="D777" s="686"/>
      <c r="E777" s="595" t="s">
        <v>1230</v>
      </c>
      <c r="F777" s="709"/>
      <c r="G777" s="590"/>
      <c r="H777" s="596"/>
      <c r="I777" s="651"/>
      <c r="J777" s="592" t="s">
        <v>161</v>
      </c>
      <c r="K777" s="685">
        <v>1</v>
      </c>
      <c r="L777" s="648">
        <v>310000</v>
      </c>
      <c r="M777" s="658">
        <f t="shared" si="44"/>
        <v>310000</v>
      </c>
      <c r="N777" s="657"/>
    </row>
    <row r="778" spans="3:14" ht="12.75">
      <c r="C778" s="694"/>
      <c r="D778" s="686"/>
      <c r="E778" s="595" t="s">
        <v>1235</v>
      </c>
      <c r="F778" s="709"/>
      <c r="G778" s="590"/>
      <c r="H778" s="596"/>
      <c r="I778" s="651"/>
      <c r="J778" s="592" t="s">
        <v>149</v>
      </c>
      <c r="K778" s="685">
        <v>0.8</v>
      </c>
      <c r="L778" s="648">
        <v>250000</v>
      </c>
      <c r="M778" s="658">
        <f>L778*K778</f>
        <v>200000</v>
      </c>
      <c r="N778" s="657"/>
    </row>
    <row r="779" spans="3:14" ht="12.75">
      <c r="C779" s="694"/>
      <c r="D779" s="686"/>
      <c r="E779" s="588" t="s">
        <v>1237</v>
      </c>
      <c r="F779" s="709"/>
      <c r="G779" s="590"/>
      <c r="H779" s="596"/>
      <c r="I779" s="651"/>
      <c r="J779" s="592" t="s">
        <v>149</v>
      </c>
      <c r="K779" s="685">
        <v>0.55</v>
      </c>
      <c r="L779" s="648">
        <f>+Bhn!I76</f>
        <v>55000</v>
      </c>
      <c r="M779" s="658">
        <f t="shared" si="44"/>
        <v>30250.000000000004</v>
      </c>
      <c r="N779" s="657"/>
    </row>
    <row r="780" spans="3:14" ht="12.75">
      <c r="C780" s="694"/>
      <c r="D780" s="686"/>
      <c r="E780" s="588" t="s">
        <v>939</v>
      </c>
      <c r="F780" s="709"/>
      <c r="G780" s="590"/>
      <c r="H780" s="596"/>
      <c r="I780" s="651"/>
      <c r="J780" s="592" t="s">
        <v>139</v>
      </c>
      <c r="K780" s="685">
        <v>1</v>
      </c>
      <c r="L780" s="648">
        <f>Bhn!$M$92</f>
        <v>160000</v>
      </c>
      <c r="M780" s="658">
        <f t="shared" si="44"/>
        <v>160000</v>
      </c>
      <c r="N780" s="657"/>
    </row>
    <row r="781" spans="3:14" ht="12.75">
      <c r="C781" s="694"/>
      <c r="D781" s="686"/>
      <c r="E781" s="588" t="s">
        <v>249</v>
      </c>
      <c r="F781" s="709"/>
      <c r="G781" s="590"/>
      <c r="H781" s="596"/>
      <c r="I781" s="651"/>
      <c r="J781" s="592" t="s">
        <v>139</v>
      </c>
      <c r="K781" s="685">
        <v>4</v>
      </c>
      <c r="L781" s="648">
        <f>Bhn!$M$94</f>
        <v>17500</v>
      </c>
      <c r="M781" s="658">
        <f t="shared" si="44"/>
        <v>70000</v>
      </c>
      <c r="N781" s="657"/>
    </row>
    <row r="782" spans="3:14" ht="12.75">
      <c r="C782" s="694"/>
      <c r="D782" s="686"/>
      <c r="E782" s="595" t="s">
        <v>84</v>
      </c>
      <c r="F782" s="709"/>
      <c r="G782" s="590"/>
      <c r="H782" s="596"/>
      <c r="I782" s="651"/>
      <c r="J782" s="592" t="s">
        <v>139</v>
      </c>
      <c r="K782" s="685">
        <v>1</v>
      </c>
      <c r="L782" s="648">
        <f>Bhn!$M$85</f>
        <v>15000</v>
      </c>
      <c r="M782" s="658">
        <f t="shared" si="44"/>
        <v>15000</v>
      </c>
      <c r="N782" s="657"/>
    </row>
    <row r="783" spans="3:14" ht="12.75">
      <c r="C783" s="694"/>
      <c r="D783" s="686"/>
      <c r="E783" s="595" t="s">
        <v>940</v>
      </c>
      <c r="F783" s="709"/>
      <c r="G783" s="590"/>
      <c r="H783" s="596"/>
      <c r="I783" s="651"/>
      <c r="J783" s="592" t="s">
        <v>139</v>
      </c>
      <c r="K783" s="685"/>
      <c r="L783" s="648">
        <f>Bhn!$M$96</f>
        <v>160000</v>
      </c>
      <c r="M783" s="658">
        <f t="shared" si="44"/>
        <v>0</v>
      </c>
      <c r="N783" s="657"/>
    </row>
    <row r="784" spans="3:14" ht="12.75">
      <c r="C784" s="694"/>
      <c r="D784" s="686"/>
      <c r="E784" s="595"/>
      <c r="F784" s="709"/>
      <c r="G784" s="590"/>
      <c r="H784" s="596"/>
      <c r="I784" s="651"/>
      <c r="J784" s="592"/>
      <c r="K784" s="685"/>
      <c r="L784" s="648"/>
      <c r="M784" s="658"/>
      <c r="N784" s="657"/>
    </row>
    <row r="785" spans="3:14" ht="12.75">
      <c r="C785" s="694">
        <f>C774+1</f>
        <v>1</v>
      </c>
      <c r="D785" s="688"/>
      <c r="E785" s="691" t="s">
        <v>1238</v>
      </c>
      <c r="F785" s="709"/>
      <c r="G785" s="590"/>
      <c r="H785" s="596"/>
      <c r="I785" s="651"/>
      <c r="J785" s="592"/>
      <c r="K785" s="664"/>
      <c r="L785" s="648"/>
      <c r="M785" s="658"/>
      <c r="N785" s="657">
        <f>SUM(M786:M793)</f>
        <v>1170920</v>
      </c>
    </row>
    <row r="786" spans="3:14" ht="12.75">
      <c r="C786" s="694"/>
      <c r="D786" s="686"/>
      <c r="E786" s="595" t="s">
        <v>1229</v>
      </c>
      <c r="F786" s="709"/>
      <c r="G786" s="590"/>
      <c r="H786" s="596"/>
      <c r="I786" s="651"/>
      <c r="J786" s="592" t="s">
        <v>134</v>
      </c>
      <c r="K786" s="685">
        <f>Sheet2!C60*0.06*0.12</f>
        <v>0.09072</v>
      </c>
      <c r="L786" s="648">
        <f>+Bhn!$I$54</f>
        <v>4750000</v>
      </c>
      <c r="M786" s="658">
        <f aca="true" t="shared" si="45" ref="M786:M793">L786*K786</f>
        <v>430920</v>
      </c>
      <c r="N786" s="657"/>
    </row>
    <row r="787" spans="3:14" ht="12.75">
      <c r="C787" s="694"/>
      <c r="D787" s="686"/>
      <c r="E787" s="595" t="s">
        <v>1230</v>
      </c>
      <c r="F787" s="709"/>
      <c r="G787" s="590"/>
      <c r="H787" s="596"/>
      <c r="I787" s="651"/>
      <c r="J787" s="592" t="s">
        <v>161</v>
      </c>
      <c r="K787" s="685">
        <v>1</v>
      </c>
      <c r="L787" s="648">
        <v>310000</v>
      </c>
      <c r="M787" s="658">
        <f t="shared" si="45"/>
        <v>310000</v>
      </c>
      <c r="N787" s="657"/>
    </row>
    <row r="788" spans="3:14" ht="12.75">
      <c r="C788" s="694"/>
      <c r="D788" s="686"/>
      <c r="E788" s="595" t="s">
        <v>1235</v>
      </c>
      <c r="F788" s="709"/>
      <c r="G788" s="590"/>
      <c r="H788" s="596"/>
      <c r="I788" s="651"/>
      <c r="J788" s="592" t="s">
        <v>149</v>
      </c>
      <c r="K788" s="685"/>
      <c r="L788" s="648">
        <v>250000</v>
      </c>
      <c r="M788" s="658">
        <f t="shared" si="45"/>
        <v>0</v>
      </c>
      <c r="N788" s="657"/>
    </row>
    <row r="789" spans="3:14" ht="12.75">
      <c r="C789" s="694"/>
      <c r="D789" s="686"/>
      <c r="E789" s="588" t="s">
        <v>1237</v>
      </c>
      <c r="F789" s="709"/>
      <c r="G789" s="590"/>
      <c r="H789" s="596"/>
      <c r="I789" s="651"/>
      <c r="J789" s="592" t="s">
        <v>149</v>
      </c>
      <c r="K789" s="685">
        <f>+Sheet2!E60</f>
        <v>4</v>
      </c>
      <c r="L789" s="648">
        <f>+Bhn!I72</f>
        <v>55000</v>
      </c>
      <c r="M789" s="658">
        <f t="shared" si="45"/>
        <v>220000</v>
      </c>
      <c r="N789" s="657"/>
    </row>
    <row r="790" spans="3:14" ht="12.75">
      <c r="C790" s="694"/>
      <c r="D790" s="686"/>
      <c r="E790" s="588" t="s">
        <v>939</v>
      </c>
      <c r="F790" s="709"/>
      <c r="G790" s="590"/>
      <c r="H790" s="596"/>
      <c r="I790" s="651"/>
      <c r="J790" s="592" t="s">
        <v>139</v>
      </c>
      <c r="K790" s="685">
        <v>1</v>
      </c>
      <c r="L790" s="648">
        <f>Bhn!$M$92</f>
        <v>160000</v>
      </c>
      <c r="M790" s="658">
        <f t="shared" si="45"/>
        <v>160000</v>
      </c>
      <c r="N790" s="657"/>
    </row>
    <row r="791" spans="3:14" ht="12.75">
      <c r="C791" s="694"/>
      <c r="D791" s="686"/>
      <c r="E791" s="588" t="s">
        <v>249</v>
      </c>
      <c r="F791" s="709"/>
      <c r="G791" s="590"/>
      <c r="H791" s="596"/>
      <c r="I791" s="651"/>
      <c r="J791" s="592" t="s">
        <v>139</v>
      </c>
      <c r="K791" s="685">
        <v>2</v>
      </c>
      <c r="L791" s="648">
        <f>Bhn!$M$94</f>
        <v>17500</v>
      </c>
      <c r="M791" s="658">
        <f t="shared" si="45"/>
        <v>35000</v>
      </c>
      <c r="N791" s="657"/>
    </row>
    <row r="792" spans="3:14" ht="12.75">
      <c r="C792" s="694"/>
      <c r="D792" s="686"/>
      <c r="E792" s="595" t="s">
        <v>84</v>
      </c>
      <c r="F792" s="709"/>
      <c r="G792" s="590"/>
      <c r="H792" s="596"/>
      <c r="I792" s="651"/>
      <c r="J792" s="592" t="s">
        <v>139</v>
      </c>
      <c r="K792" s="685">
        <v>1</v>
      </c>
      <c r="L792" s="648">
        <f>Bhn!$M$85</f>
        <v>15000</v>
      </c>
      <c r="M792" s="658">
        <f t="shared" si="45"/>
        <v>15000</v>
      </c>
      <c r="N792" s="657"/>
    </row>
    <row r="793" spans="3:14" ht="12.75">
      <c r="C793" s="694"/>
      <c r="D793" s="686"/>
      <c r="E793" s="595" t="s">
        <v>940</v>
      </c>
      <c r="F793" s="709"/>
      <c r="G793" s="590"/>
      <c r="H793" s="596"/>
      <c r="I793" s="651"/>
      <c r="J793" s="592" t="s">
        <v>139</v>
      </c>
      <c r="K793" s="685"/>
      <c r="L793" s="648">
        <f>Bhn!$M$96</f>
        <v>160000</v>
      </c>
      <c r="M793" s="658">
        <f t="shared" si="45"/>
        <v>0</v>
      </c>
      <c r="N793" s="657"/>
    </row>
    <row r="794" spans="3:14" ht="12.75">
      <c r="C794" s="694"/>
      <c r="D794" s="686"/>
      <c r="E794" s="595"/>
      <c r="F794" s="709"/>
      <c r="G794" s="590"/>
      <c r="H794" s="596"/>
      <c r="I794" s="651"/>
      <c r="J794" s="592"/>
      <c r="K794" s="685"/>
      <c r="L794" s="648"/>
      <c r="M794" s="658"/>
      <c r="N794" s="657"/>
    </row>
    <row r="795" spans="3:14" ht="12.75">
      <c r="C795" s="694">
        <f>C731+1</f>
        <v>4</v>
      </c>
      <c r="D795" s="688"/>
      <c r="E795" s="691" t="s">
        <v>979</v>
      </c>
      <c r="F795" s="709"/>
      <c r="G795" s="590"/>
      <c r="H795" s="596"/>
      <c r="I795" s="651"/>
      <c r="J795" s="592"/>
      <c r="K795" s="664"/>
      <c r="L795" s="648"/>
      <c r="M795" s="658"/>
      <c r="N795" s="657">
        <f>SUM(M796:M802)</f>
        <v>1032250</v>
      </c>
    </row>
    <row r="796" spans="3:14" ht="12.75">
      <c r="C796" s="587"/>
      <c r="D796" s="686"/>
      <c r="E796" s="595" t="s">
        <v>1153</v>
      </c>
      <c r="F796" s="709"/>
      <c r="G796" s="590"/>
      <c r="H796" s="596"/>
      <c r="I796" s="651"/>
      <c r="J796" s="592" t="s">
        <v>153</v>
      </c>
      <c r="K796" s="685">
        <v>5.05</v>
      </c>
      <c r="L796" s="648">
        <f>$L$697</f>
        <v>45000</v>
      </c>
      <c r="M796" s="658">
        <f aca="true" t="shared" si="46" ref="M796:M802">L796*K796</f>
        <v>227250</v>
      </c>
      <c r="N796" s="657"/>
    </row>
    <row r="797" spans="3:14" ht="12.75">
      <c r="C797" s="694"/>
      <c r="D797" s="686"/>
      <c r="E797" s="595" t="s">
        <v>1230</v>
      </c>
      <c r="F797" s="709"/>
      <c r="G797" s="590"/>
      <c r="H797" s="596"/>
      <c r="I797" s="651"/>
      <c r="J797" s="592" t="s">
        <v>161</v>
      </c>
      <c r="K797" s="685">
        <v>1</v>
      </c>
      <c r="L797" s="648">
        <v>310000</v>
      </c>
      <c r="M797" s="658">
        <f t="shared" si="46"/>
        <v>310000</v>
      </c>
      <c r="N797" s="657"/>
    </row>
    <row r="798" spans="3:14" ht="12.75">
      <c r="C798" s="587"/>
      <c r="D798" s="686"/>
      <c r="E798" s="588" t="s">
        <v>936</v>
      </c>
      <c r="F798" s="709"/>
      <c r="G798" s="590"/>
      <c r="H798" s="596"/>
      <c r="I798" s="651"/>
      <c r="J798" s="592" t="s">
        <v>149</v>
      </c>
      <c r="K798" s="685"/>
      <c r="L798" s="648">
        <f>Bhn!$M$79</f>
        <v>285000</v>
      </c>
      <c r="M798" s="658">
        <f t="shared" si="46"/>
        <v>0</v>
      </c>
      <c r="N798" s="657"/>
    </row>
    <row r="799" spans="3:14" ht="12.75">
      <c r="C799" s="587"/>
      <c r="D799" s="686"/>
      <c r="E799" s="588" t="s">
        <v>939</v>
      </c>
      <c r="F799" s="709"/>
      <c r="G799" s="590"/>
      <c r="H799" s="596"/>
      <c r="I799" s="651"/>
      <c r="J799" s="592" t="s">
        <v>139</v>
      </c>
      <c r="K799" s="685">
        <v>1</v>
      </c>
      <c r="L799" s="648">
        <f>Bhn!$M$92</f>
        <v>160000</v>
      </c>
      <c r="M799" s="658">
        <f t="shared" si="46"/>
        <v>160000</v>
      </c>
      <c r="N799" s="657"/>
    </row>
    <row r="800" spans="3:14" ht="12.75">
      <c r="C800" s="587"/>
      <c r="D800" s="686"/>
      <c r="E800" s="588" t="s">
        <v>980</v>
      </c>
      <c r="F800" s="709"/>
      <c r="G800" s="590"/>
      <c r="H800" s="596"/>
      <c r="I800" s="651"/>
      <c r="J800" s="592" t="s">
        <v>981</v>
      </c>
      <c r="K800" s="685">
        <v>1</v>
      </c>
      <c r="L800" s="648">
        <v>300000</v>
      </c>
      <c r="M800" s="658">
        <f t="shared" si="46"/>
        <v>300000</v>
      </c>
      <c r="N800" s="657"/>
    </row>
    <row r="801" spans="3:14" ht="12.75">
      <c r="C801" s="587"/>
      <c r="D801" s="686"/>
      <c r="E801" s="588" t="s">
        <v>942</v>
      </c>
      <c r="F801" s="709"/>
      <c r="G801" s="590"/>
      <c r="H801" s="596"/>
      <c r="I801" s="651"/>
      <c r="J801" s="592" t="s">
        <v>946</v>
      </c>
      <c r="K801" s="685">
        <v>1</v>
      </c>
      <c r="L801" s="648">
        <f>Bhn!$M$89</f>
        <v>35000</v>
      </c>
      <c r="M801" s="658">
        <f t="shared" si="46"/>
        <v>35000</v>
      </c>
      <c r="N801" s="657"/>
    </row>
    <row r="802" spans="3:14" ht="12.75">
      <c r="C802" s="587"/>
      <c r="D802" s="686"/>
      <c r="E802" s="588" t="s">
        <v>259</v>
      </c>
      <c r="F802" s="709"/>
      <c r="G802" s="590"/>
      <c r="H802" s="596"/>
      <c r="I802" s="651"/>
      <c r="J802" s="592" t="s">
        <v>149</v>
      </c>
      <c r="K802" s="685">
        <f>K798</f>
        <v>0</v>
      </c>
      <c r="L802" s="648">
        <f>L740</f>
        <v>85000</v>
      </c>
      <c r="M802" s="658">
        <f t="shared" si="46"/>
        <v>0</v>
      </c>
      <c r="N802" s="657"/>
    </row>
    <row r="803" spans="3:14" ht="12.75">
      <c r="C803" s="587"/>
      <c r="D803" s="686"/>
      <c r="E803" s="588"/>
      <c r="F803" s="709"/>
      <c r="G803" s="590"/>
      <c r="H803" s="596"/>
      <c r="I803" s="651"/>
      <c r="J803" s="592"/>
      <c r="K803" s="685"/>
      <c r="L803" s="648"/>
      <c r="M803" s="658"/>
      <c r="N803" s="657"/>
    </row>
    <row r="804" spans="3:14" ht="12.75" hidden="1">
      <c r="C804" s="694">
        <f>+C795+1</f>
        <v>5</v>
      </c>
      <c r="D804" s="688"/>
      <c r="E804" s="691" t="s">
        <v>546</v>
      </c>
      <c r="F804" s="709"/>
      <c r="G804" s="590"/>
      <c r="H804" s="596"/>
      <c r="I804" s="651"/>
      <c r="J804" s="592"/>
      <c r="K804" s="664"/>
      <c r="L804" s="648"/>
      <c r="M804" s="658"/>
      <c r="N804" s="657">
        <f>SUM(M805:M812)</f>
        <v>1760987.5</v>
      </c>
    </row>
    <row r="805" spans="3:14" ht="12.75" hidden="1">
      <c r="C805" s="587"/>
      <c r="D805" s="686"/>
      <c r="E805" s="595" t="s">
        <v>1153</v>
      </c>
      <c r="F805" s="709"/>
      <c r="G805" s="590"/>
      <c r="H805" s="596"/>
      <c r="I805" s="651"/>
      <c r="J805" s="592" t="s">
        <v>153</v>
      </c>
      <c r="K805" s="685">
        <v>5.05</v>
      </c>
      <c r="L805" s="648">
        <f>$L$697</f>
        <v>45000</v>
      </c>
      <c r="M805" s="658">
        <f aca="true" t="shared" si="47" ref="M805:M812">L805*K805</f>
        <v>227250</v>
      </c>
      <c r="N805" s="657"/>
    </row>
    <row r="806" spans="3:14" ht="12.75" hidden="1">
      <c r="C806" s="587"/>
      <c r="D806" s="686"/>
      <c r="E806" s="595" t="s">
        <v>941</v>
      </c>
      <c r="F806" s="709"/>
      <c r="G806" s="590"/>
      <c r="H806" s="596"/>
      <c r="I806" s="651"/>
      <c r="J806" s="592" t="s">
        <v>139</v>
      </c>
      <c r="K806" s="685">
        <v>1</v>
      </c>
      <c r="L806" s="648">
        <f>Bhn!$M$68</f>
        <v>750000</v>
      </c>
      <c r="M806" s="658">
        <f t="shared" si="47"/>
        <v>750000</v>
      </c>
      <c r="N806" s="657"/>
    </row>
    <row r="807" spans="3:14" ht="12.75" hidden="1">
      <c r="C807" s="587"/>
      <c r="D807" s="686"/>
      <c r="E807" s="588" t="s">
        <v>936</v>
      </c>
      <c r="F807" s="709"/>
      <c r="G807" s="590"/>
      <c r="H807" s="596"/>
      <c r="I807" s="651"/>
      <c r="J807" s="592" t="s">
        <v>149</v>
      </c>
      <c r="K807" s="685">
        <f>0.65*1.95</f>
        <v>1.2675</v>
      </c>
      <c r="L807" s="648">
        <f>Bhn!$M$79</f>
        <v>285000</v>
      </c>
      <c r="M807" s="658">
        <f t="shared" si="47"/>
        <v>361237.5</v>
      </c>
      <c r="N807" s="657"/>
    </row>
    <row r="808" spans="3:14" ht="12.75" hidden="1">
      <c r="C808" s="587"/>
      <c r="D808" s="686"/>
      <c r="E808" s="588" t="s">
        <v>939</v>
      </c>
      <c r="F808" s="709"/>
      <c r="G808" s="590"/>
      <c r="H808" s="596"/>
      <c r="I808" s="651"/>
      <c r="J808" s="592" t="s">
        <v>139</v>
      </c>
      <c r="K808" s="685">
        <v>1</v>
      </c>
      <c r="L808" s="648">
        <f>Bhn!$M$92</f>
        <v>160000</v>
      </c>
      <c r="M808" s="658">
        <f t="shared" si="47"/>
        <v>160000</v>
      </c>
      <c r="N808" s="657"/>
    </row>
    <row r="809" spans="3:14" ht="12.75" hidden="1">
      <c r="C809" s="587"/>
      <c r="D809" s="686"/>
      <c r="E809" s="588" t="s">
        <v>249</v>
      </c>
      <c r="F809" s="709"/>
      <c r="G809" s="590"/>
      <c r="H809" s="596"/>
      <c r="I809" s="651"/>
      <c r="J809" s="592" t="s">
        <v>139</v>
      </c>
      <c r="K809" s="685">
        <v>3</v>
      </c>
      <c r="L809" s="648">
        <f>Bhn!$M$94</f>
        <v>17500</v>
      </c>
      <c r="M809" s="658">
        <f t="shared" si="47"/>
        <v>52500</v>
      </c>
      <c r="N809" s="657"/>
    </row>
    <row r="810" spans="3:14" ht="12.75" hidden="1">
      <c r="C810" s="587"/>
      <c r="D810" s="686"/>
      <c r="E810" s="595" t="s">
        <v>84</v>
      </c>
      <c r="F810" s="709"/>
      <c r="G810" s="590"/>
      <c r="H810" s="596"/>
      <c r="I810" s="651"/>
      <c r="J810" s="592" t="s">
        <v>139</v>
      </c>
      <c r="K810" s="685">
        <v>1</v>
      </c>
      <c r="L810" s="648">
        <f>Bhn!$M$85</f>
        <v>15000</v>
      </c>
      <c r="M810" s="658">
        <f t="shared" si="47"/>
        <v>15000</v>
      </c>
      <c r="N810" s="657"/>
    </row>
    <row r="811" spans="3:14" ht="12.75" hidden="1">
      <c r="C811" s="587"/>
      <c r="D811" s="686"/>
      <c r="E811" s="595" t="s">
        <v>940</v>
      </c>
      <c r="F811" s="709"/>
      <c r="G811" s="590"/>
      <c r="H811" s="596"/>
      <c r="I811" s="651"/>
      <c r="J811" s="592" t="s">
        <v>139</v>
      </c>
      <c r="K811" s="685">
        <v>1</v>
      </c>
      <c r="L811" s="648">
        <f>Bhn!$M$96</f>
        <v>160000</v>
      </c>
      <c r="M811" s="658">
        <f t="shared" si="47"/>
        <v>160000</v>
      </c>
      <c r="N811" s="657"/>
    </row>
    <row r="812" spans="3:14" ht="12.75" hidden="1">
      <c r="C812" s="587"/>
      <c r="D812" s="686"/>
      <c r="E812" s="588" t="s">
        <v>942</v>
      </c>
      <c r="F812" s="709"/>
      <c r="G812" s="590"/>
      <c r="H812" s="596"/>
      <c r="I812" s="651"/>
      <c r="J812" s="592" t="s">
        <v>946</v>
      </c>
      <c r="K812" s="685">
        <v>1</v>
      </c>
      <c r="L812" s="648">
        <f>Bhn!$M$89</f>
        <v>35000</v>
      </c>
      <c r="M812" s="658">
        <f t="shared" si="47"/>
        <v>35000</v>
      </c>
      <c r="N812" s="657"/>
    </row>
    <row r="813" spans="3:14" ht="12.75" hidden="1">
      <c r="C813" s="587"/>
      <c r="D813" s="686"/>
      <c r="E813" s="588"/>
      <c r="F813" s="709"/>
      <c r="G813" s="590"/>
      <c r="H813" s="596"/>
      <c r="I813" s="651"/>
      <c r="J813" s="592"/>
      <c r="K813" s="685"/>
      <c r="L813" s="648"/>
      <c r="M813" s="658"/>
      <c r="N813" s="657"/>
    </row>
    <row r="814" spans="3:14" ht="12.75" hidden="1">
      <c r="C814" s="694">
        <f>+C804+1</f>
        <v>6</v>
      </c>
      <c r="D814" s="688"/>
      <c r="E814" s="691" t="s">
        <v>618</v>
      </c>
      <c r="F814" s="709"/>
      <c r="G814" s="590"/>
      <c r="H814" s="596"/>
      <c r="I814" s="651"/>
      <c r="J814" s="592"/>
      <c r="K814" s="664"/>
      <c r="L814" s="648"/>
      <c r="M814" s="658"/>
      <c r="N814" s="657">
        <f>SUM(M815:M824)</f>
        <v>3833900</v>
      </c>
    </row>
    <row r="815" spans="3:14" ht="12.75" hidden="1">
      <c r="C815" s="694"/>
      <c r="D815" s="686"/>
      <c r="E815" s="595" t="s">
        <v>1153</v>
      </c>
      <c r="F815" s="709"/>
      <c r="G815" s="590"/>
      <c r="H815" s="596"/>
      <c r="I815" s="651"/>
      <c r="J815" s="592" t="s">
        <v>153</v>
      </c>
      <c r="K815" s="685">
        <f>1.72+3.3+0.5</f>
        <v>5.52</v>
      </c>
      <c r="L815" s="648">
        <f>$L$697</f>
        <v>45000</v>
      </c>
      <c r="M815" s="658">
        <f>L815*K815</f>
        <v>248399.99999999997</v>
      </c>
      <c r="N815" s="657"/>
    </row>
    <row r="816" spans="3:14" ht="12.75" hidden="1">
      <c r="C816" s="694"/>
      <c r="D816" s="686"/>
      <c r="E816" s="595" t="s">
        <v>941</v>
      </c>
      <c r="F816" s="709"/>
      <c r="G816" s="590"/>
      <c r="H816" s="596"/>
      <c r="I816" s="651"/>
      <c r="J816" s="592" t="s">
        <v>139</v>
      </c>
      <c r="K816" s="685">
        <v>2</v>
      </c>
      <c r="L816" s="648">
        <f>Bhn!$M$68</f>
        <v>750000</v>
      </c>
      <c r="M816" s="658">
        <f>L816*K816</f>
        <v>1500000</v>
      </c>
      <c r="N816" s="657"/>
    </row>
    <row r="817" spans="3:14" ht="12.75" hidden="1">
      <c r="C817" s="694"/>
      <c r="D817" s="686"/>
      <c r="E817" s="595" t="s">
        <v>961</v>
      </c>
      <c r="F817" s="709"/>
      <c r="G817" s="590"/>
      <c r="H817" s="596"/>
      <c r="I817" s="651"/>
      <c r="J817" s="592" t="s">
        <v>139</v>
      </c>
      <c r="K817" s="685">
        <v>2</v>
      </c>
      <c r="L817" s="648">
        <f>Bhn!$M$70</f>
        <v>300000</v>
      </c>
      <c r="M817" s="658">
        <f>L817*K817</f>
        <v>600000</v>
      </c>
      <c r="N817" s="657"/>
    </row>
    <row r="818" spans="3:14" ht="12.75" hidden="1">
      <c r="C818" s="694"/>
      <c r="D818" s="686"/>
      <c r="E818" s="588" t="s">
        <v>936</v>
      </c>
      <c r="F818" s="709"/>
      <c r="G818" s="590"/>
      <c r="H818" s="596"/>
      <c r="I818" s="651"/>
      <c r="J818" s="592" t="s">
        <v>149</v>
      </c>
      <c r="K818" s="685">
        <f>0.65*2+2</f>
        <v>3.3</v>
      </c>
      <c r="L818" s="648">
        <f>Bhn!$M$79</f>
        <v>285000</v>
      </c>
      <c r="M818" s="658">
        <f>L818*K818</f>
        <v>940500</v>
      </c>
      <c r="N818" s="657"/>
    </row>
    <row r="819" spans="3:14" ht="12.75" hidden="1">
      <c r="C819" s="694"/>
      <c r="D819" s="686"/>
      <c r="E819" s="588" t="s">
        <v>939</v>
      </c>
      <c r="F819" s="709"/>
      <c r="G819" s="590"/>
      <c r="H819" s="596"/>
      <c r="I819" s="651"/>
      <c r="J819" s="592" t="s">
        <v>139</v>
      </c>
      <c r="K819" s="685">
        <v>1</v>
      </c>
      <c r="L819" s="648">
        <f>Bhn!$M$92</f>
        <v>160000</v>
      </c>
      <c r="M819" s="658">
        <f aca="true" t="shared" si="48" ref="M819:M824">L819*K819</f>
        <v>160000</v>
      </c>
      <c r="N819" s="657"/>
    </row>
    <row r="820" spans="3:14" ht="12.75" hidden="1">
      <c r="C820" s="694"/>
      <c r="D820" s="686"/>
      <c r="E820" s="588" t="s">
        <v>249</v>
      </c>
      <c r="F820" s="709"/>
      <c r="G820" s="590"/>
      <c r="H820" s="596"/>
      <c r="I820" s="651"/>
      <c r="J820" s="592" t="s">
        <v>139</v>
      </c>
      <c r="K820" s="685">
        <v>6</v>
      </c>
      <c r="L820" s="648">
        <f>Bhn!$M$94</f>
        <v>17500</v>
      </c>
      <c r="M820" s="658">
        <f t="shared" si="48"/>
        <v>105000</v>
      </c>
      <c r="N820" s="657"/>
    </row>
    <row r="821" spans="3:14" ht="12.75" hidden="1">
      <c r="C821" s="694"/>
      <c r="D821" s="686"/>
      <c r="E821" s="595" t="s">
        <v>84</v>
      </c>
      <c r="F821" s="709"/>
      <c r="G821" s="590"/>
      <c r="H821" s="596"/>
      <c r="I821" s="651"/>
      <c r="J821" s="592" t="s">
        <v>139</v>
      </c>
      <c r="K821" s="685">
        <v>1</v>
      </c>
      <c r="L821" s="648">
        <f>Bhn!$M$85</f>
        <v>15000</v>
      </c>
      <c r="M821" s="658">
        <f t="shared" si="48"/>
        <v>15000</v>
      </c>
      <c r="N821" s="657"/>
    </row>
    <row r="822" spans="3:14" ht="12.75" hidden="1">
      <c r="C822" s="694"/>
      <c r="D822" s="686"/>
      <c r="E822" s="595" t="s">
        <v>940</v>
      </c>
      <c r="F822" s="709"/>
      <c r="G822" s="590"/>
      <c r="H822" s="596"/>
      <c r="I822" s="651"/>
      <c r="J822" s="592" t="s">
        <v>139</v>
      </c>
      <c r="K822" s="685">
        <v>1</v>
      </c>
      <c r="L822" s="648">
        <f>Bhn!$M$96</f>
        <v>160000</v>
      </c>
      <c r="M822" s="658">
        <f t="shared" si="48"/>
        <v>160000</v>
      </c>
      <c r="N822" s="657"/>
    </row>
    <row r="823" spans="3:14" ht="12.75" hidden="1">
      <c r="C823" s="694"/>
      <c r="D823" s="686"/>
      <c r="E823" s="588" t="s">
        <v>942</v>
      </c>
      <c r="F823" s="709"/>
      <c r="G823" s="590"/>
      <c r="H823" s="596"/>
      <c r="I823" s="651"/>
      <c r="J823" s="592" t="s">
        <v>946</v>
      </c>
      <c r="K823" s="685">
        <v>2</v>
      </c>
      <c r="L823" s="648">
        <f>Bhn!$M$89</f>
        <v>35000</v>
      </c>
      <c r="M823" s="658">
        <f t="shared" si="48"/>
        <v>70000</v>
      </c>
      <c r="N823" s="657"/>
    </row>
    <row r="824" spans="3:14" ht="12.75" hidden="1">
      <c r="C824" s="694"/>
      <c r="D824" s="686"/>
      <c r="E824" s="595" t="s">
        <v>947</v>
      </c>
      <c r="F824" s="709"/>
      <c r="G824" s="590"/>
      <c r="H824" s="596"/>
      <c r="I824" s="651"/>
      <c r="J824" s="592" t="s">
        <v>946</v>
      </c>
      <c r="K824" s="664">
        <v>1</v>
      </c>
      <c r="L824" s="648">
        <f>Bhn!M87</f>
        <v>35000</v>
      </c>
      <c r="M824" s="658">
        <f t="shared" si="48"/>
        <v>35000</v>
      </c>
      <c r="N824" s="657"/>
    </row>
    <row r="825" spans="3:14" ht="12.75" hidden="1">
      <c r="C825" s="694"/>
      <c r="D825" s="686"/>
      <c r="E825" s="595"/>
      <c r="F825" s="709"/>
      <c r="G825" s="590"/>
      <c r="H825" s="596"/>
      <c r="I825" s="651"/>
      <c r="J825" s="592"/>
      <c r="K825" s="664"/>
      <c r="L825" s="648"/>
      <c r="M825" s="658"/>
      <c r="N825" s="657"/>
    </row>
    <row r="826" spans="3:14" ht="12.75" hidden="1">
      <c r="C826" s="694">
        <f>+C814+1</f>
        <v>7</v>
      </c>
      <c r="D826" s="688"/>
      <c r="E826" s="691" t="s">
        <v>547</v>
      </c>
      <c r="F826" s="709"/>
      <c r="G826" s="590"/>
      <c r="H826" s="596"/>
      <c r="I826" s="651"/>
      <c r="J826" s="592"/>
      <c r="K826" s="664"/>
      <c r="L826" s="648"/>
      <c r="M826" s="658"/>
      <c r="N826" s="657">
        <f>SUM(M827:M831)</f>
        <v>1204750</v>
      </c>
    </row>
    <row r="827" spans="3:14" ht="12.75" hidden="1">
      <c r="C827" s="694"/>
      <c r="D827" s="686"/>
      <c r="E827" s="595" t="s">
        <v>1153</v>
      </c>
      <c r="F827" s="709"/>
      <c r="G827" s="590"/>
      <c r="H827" s="596"/>
      <c r="I827" s="651"/>
      <c r="J827" s="592" t="s">
        <v>153</v>
      </c>
      <c r="K827" s="685">
        <v>5.05</v>
      </c>
      <c r="L827" s="648">
        <f>$L$697</f>
        <v>45000</v>
      </c>
      <c r="M827" s="658">
        <f>L827*K827</f>
        <v>227250</v>
      </c>
      <c r="N827" s="657"/>
    </row>
    <row r="828" spans="3:14" ht="12.75" hidden="1">
      <c r="C828" s="587"/>
      <c r="D828" s="686"/>
      <c r="E828" s="595" t="s">
        <v>938</v>
      </c>
      <c r="F828" s="709"/>
      <c r="G828" s="590"/>
      <c r="H828" s="596"/>
      <c r="I828" s="651"/>
      <c r="J828" s="592" t="s">
        <v>139</v>
      </c>
      <c r="K828" s="685">
        <v>1</v>
      </c>
      <c r="L828" s="648">
        <v>750000</v>
      </c>
      <c r="M828" s="658">
        <f>L828*K828</f>
        <v>750000</v>
      </c>
      <c r="N828" s="657"/>
    </row>
    <row r="829" spans="3:14" ht="12.75" hidden="1">
      <c r="C829" s="587"/>
      <c r="D829" s="686"/>
      <c r="E829" s="588" t="s">
        <v>939</v>
      </c>
      <c r="F829" s="709"/>
      <c r="G829" s="590"/>
      <c r="H829" s="596"/>
      <c r="I829" s="651"/>
      <c r="J829" s="592" t="s">
        <v>139</v>
      </c>
      <c r="K829" s="685">
        <v>1</v>
      </c>
      <c r="L829" s="648">
        <f>Bhn!$M$92</f>
        <v>160000</v>
      </c>
      <c r="M829" s="658">
        <f>L829*K829</f>
        <v>160000</v>
      </c>
      <c r="N829" s="657"/>
    </row>
    <row r="830" spans="3:14" ht="12.75" hidden="1">
      <c r="C830" s="587"/>
      <c r="D830" s="686"/>
      <c r="E830" s="588" t="s">
        <v>249</v>
      </c>
      <c r="F830" s="709"/>
      <c r="G830" s="590"/>
      <c r="H830" s="596"/>
      <c r="I830" s="651"/>
      <c r="J830" s="592" t="s">
        <v>139</v>
      </c>
      <c r="K830" s="685">
        <v>3</v>
      </c>
      <c r="L830" s="648">
        <f>Bhn!$M$94</f>
        <v>17500</v>
      </c>
      <c r="M830" s="658">
        <f>L830*K830</f>
        <v>52500</v>
      </c>
      <c r="N830" s="657"/>
    </row>
    <row r="831" spans="3:14" ht="12.75" hidden="1">
      <c r="C831" s="587"/>
      <c r="D831" s="686"/>
      <c r="E831" s="595" t="s">
        <v>84</v>
      </c>
      <c r="F831" s="709"/>
      <c r="G831" s="590"/>
      <c r="H831" s="596"/>
      <c r="I831" s="651"/>
      <c r="J831" s="592" t="s">
        <v>139</v>
      </c>
      <c r="K831" s="685">
        <v>1</v>
      </c>
      <c r="L831" s="648">
        <f>Bhn!$M$85</f>
        <v>15000</v>
      </c>
      <c r="M831" s="658">
        <f>L831*K831</f>
        <v>15000</v>
      </c>
      <c r="N831" s="657"/>
    </row>
    <row r="832" spans="3:14" ht="12.75" hidden="1">
      <c r="C832" s="587"/>
      <c r="D832" s="686"/>
      <c r="E832" s="595"/>
      <c r="F832" s="709"/>
      <c r="G832" s="590"/>
      <c r="H832" s="596"/>
      <c r="I832" s="651"/>
      <c r="J832" s="592"/>
      <c r="K832" s="685"/>
      <c r="L832" s="648"/>
      <c r="M832" s="658"/>
      <c r="N832" s="657"/>
    </row>
    <row r="833" spans="3:14" ht="12.75" hidden="1">
      <c r="C833" s="694">
        <f>+C826+1</f>
        <v>8</v>
      </c>
      <c r="D833" s="688"/>
      <c r="E833" s="691" t="s">
        <v>548</v>
      </c>
      <c r="F833" s="709"/>
      <c r="G833" s="590"/>
      <c r="H833" s="596"/>
      <c r="I833" s="651"/>
      <c r="J833" s="592"/>
      <c r="K833" s="664"/>
      <c r="L833" s="648"/>
      <c r="M833" s="658"/>
      <c r="N833" s="657">
        <f>SUM(M834:M841)</f>
        <v>1614512.5</v>
      </c>
    </row>
    <row r="834" spans="3:14" ht="12.75" hidden="1">
      <c r="C834" s="587" t="s">
        <v>41</v>
      </c>
      <c r="D834" s="686"/>
      <c r="E834" s="595" t="s">
        <v>1153</v>
      </c>
      <c r="F834" s="709"/>
      <c r="G834" s="590"/>
      <c r="H834" s="596"/>
      <c r="I834" s="651"/>
      <c r="J834" s="592" t="s">
        <v>153</v>
      </c>
      <c r="K834" s="685">
        <v>5.05</v>
      </c>
      <c r="L834" s="648">
        <f>$L$697</f>
        <v>45000</v>
      </c>
      <c r="M834" s="658">
        <f aca="true" t="shared" si="49" ref="M834:M841">L834*K834</f>
        <v>227250</v>
      </c>
      <c r="N834" s="657"/>
    </row>
    <row r="835" spans="3:14" ht="12.75" hidden="1">
      <c r="C835" s="587"/>
      <c r="D835" s="686"/>
      <c r="E835" s="595" t="s">
        <v>938</v>
      </c>
      <c r="F835" s="709"/>
      <c r="G835" s="590"/>
      <c r="H835" s="596"/>
      <c r="I835" s="651"/>
      <c r="J835" s="592" t="s">
        <v>139</v>
      </c>
      <c r="K835" s="685">
        <v>1</v>
      </c>
      <c r="L835" s="648">
        <v>750000</v>
      </c>
      <c r="M835" s="658">
        <f t="shared" si="49"/>
        <v>750000</v>
      </c>
      <c r="N835" s="657"/>
    </row>
    <row r="836" spans="3:14" ht="12.75" hidden="1">
      <c r="C836" s="587"/>
      <c r="D836" s="686"/>
      <c r="E836" s="588" t="s">
        <v>936</v>
      </c>
      <c r="F836" s="709"/>
      <c r="G836" s="590"/>
      <c r="H836" s="596"/>
      <c r="I836" s="651"/>
      <c r="J836" s="592" t="s">
        <v>149</v>
      </c>
      <c r="K836" s="685">
        <f>0.35*1.95</f>
        <v>0.6825</v>
      </c>
      <c r="L836" s="648">
        <f>Bhn!$M$79</f>
        <v>285000</v>
      </c>
      <c r="M836" s="658">
        <f t="shared" si="49"/>
        <v>194512.5</v>
      </c>
      <c r="N836" s="657"/>
    </row>
    <row r="837" spans="3:14" ht="12.75" hidden="1">
      <c r="C837" s="587"/>
      <c r="D837" s="686"/>
      <c r="E837" s="588" t="s">
        <v>939</v>
      </c>
      <c r="F837" s="709"/>
      <c r="G837" s="590"/>
      <c r="H837" s="596"/>
      <c r="I837" s="651"/>
      <c r="J837" s="592" t="s">
        <v>139</v>
      </c>
      <c r="K837" s="685">
        <v>1</v>
      </c>
      <c r="L837" s="648">
        <f>Bhn!$M$92</f>
        <v>160000</v>
      </c>
      <c r="M837" s="658">
        <f t="shared" si="49"/>
        <v>160000</v>
      </c>
      <c r="N837" s="657"/>
    </row>
    <row r="838" spans="3:14" ht="12.75" hidden="1">
      <c r="C838" s="587"/>
      <c r="D838" s="686"/>
      <c r="E838" s="588" t="s">
        <v>249</v>
      </c>
      <c r="F838" s="709"/>
      <c r="G838" s="590"/>
      <c r="H838" s="596"/>
      <c r="I838" s="651"/>
      <c r="J838" s="592" t="s">
        <v>139</v>
      </c>
      <c r="K838" s="685">
        <v>3</v>
      </c>
      <c r="L838" s="648">
        <f>Bhn!$M$94</f>
        <v>17500</v>
      </c>
      <c r="M838" s="658">
        <f t="shared" si="49"/>
        <v>52500</v>
      </c>
      <c r="N838" s="657"/>
    </row>
    <row r="839" spans="3:14" ht="12.75" hidden="1">
      <c r="C839" s="587"/>
      <c r="D839" s="686"/>
      <c r="E839" s="595" t="s">
        <v>84</v>
      </c>
      <c r="F839" s="709"/>
      <c r="G839" s="590"/>
      <c r="H839" s="596"/>
      <c r="I839" s="651"/>
      <c r="J839" s="592" t="s">
        <v>139</v>
      </c>
      <c r="K839" s="685">
        <v>1</v>
      </c>
      <c r="L839" s="648">
        <f>Bhn!$M$85</f>
        <v>15000</v>
      </c>
      <c r="M839" s="658">
        <f t="shared" si="49"/>
        <v>15000</v>
      </c>
      <c r="N839" s="657"/>
    </row>
    <row r="840" spans="3:14" ht="12.75" hidden="1">
      <c r="C840" s="587"/>
      <c r="D840" s="686"/>
      <c r="E840" s="595" t="s">
        <v>940</v>
      </c>
      <c r="F840" s="709"/>
      <c r="G840" s="590"/>
      <c r="H840" s="596"/>
      <c r="I840" s="651"/>
      <c r="J840" s="592" t="s">
        <v>139</v>
      </c>
      <c r="K840" s="685">
        <v>1</v>
      </c>
      <c r="L840" s="648">
        <f>Bhn!$M$96</f>
        <v>160000</v>
      </c>
      <c r="M840" s="658">
        <f t="shared" si="49"/>
        <v>160000</v>
      </c>
      <c r="N840" s="657"/>
    </row>
    <row r="841" spans="3:14" ht="12.75" hidden="1">
      <c r="C841" s="587"/>
      <c r="D841" s="686"/>
      <c r="E841" s="588" t="s">
        <v>259</v>
      </c>
      <c r="F841" s="709"/>
      <c r="G841" s="590"/>
      <c r="H841" s="596"/>
      <c r="I841" s="651"/>
      <c r="J841" s="592" t="s">
        <v>149</v>
      </c>
      <c r="K841" s="685">
        <f>1*0.65</f>
        <v>0.65</v>
      </c>
      <c r="L841" s="648">
        <f>L740</f>
        <v>85000</v>
      </c>
      <c r="M841" s="658">
        <f t="shared" si="49"/>
        <v>55250</v>
      </c>
      <c r="N841" s="657"/>
    </row>
    <row r="842" spans="3:14" ht="12.75" hidden="1">
      <c r="C842" s="587"/>
      <c r="D842" s="686"/>
      <c r="E842" s="595"/>
      <c r="F842" s="709"/>
      <c r="G842" s="590"/>
      <c r="H842" s="596"/>
      <c r="I842" s="651"/>
      <c r="J842" s="592"/>
      <c r="K842" s="664"/>
      <c r="L842" s="648"/>
      <c r="M842" s="658"/>
      <c r="N842" s="657"/>
    </row>
    <row r="843" spans="3:14" ht="12.75" hidden="1">
      <c r="C843" s="694">
        <f>C833+1</f>
        <v>9</v>
      </c>
      <c r="D843" s="688"/>
      <c r="E843" s="691" t="s">
        <v>620</v>
      </c>
      <c r="F843" s="709"/>
      <c r="G843" s="590"/>
      <c r="H843" s="596"/>
      <c r="I843" s="651"/>
      <c r="J843" s="592"/>
      <c r="K843" s="664"/>
      <c r="L843" s="648"/>
      <c r="M843" s="658"/>
      <c r="N843" s="657">
        <f>SUM(M844:M850)</f>
        <v>1404750</v>
      </c>
    </row>
    <row r="844" spans="3:14" ht="12.75" hidden="1">
      <c r="C844" s="587"/>
      <c r="D844" s="686"/>
      <c r="E844" s="595" t="s">
        <v>1153</v>
      </c>
      <c r="F844" s="709"/>
      <c r="G844" s="590"/>
      <c r="H844" s="596"/>
      <c r="I844" s="651"/>
      <c r="J844" s="592" t="s">
        <v>153</v>
      </c>
      <c r="K844" s="685">
        <v>5.05</v>
      </c>
      <c r="L844" s="648">
        <f>$L$697</f>
        <v>45000</v>
      </c>
      <c r="M844" s="658">
        <f aca="true" t="shared" si="50" ref="M844:M850">L844*K844</f>
        <v>227250</v>
      </c>
      <c r="N844" s="657"/>
    </row>
    <row r="845" spans="3:14" ht="12.75" hidden="1">
      <c r="C845" s="587"/>
      <c r="D845" s="686"/>
      <c r="E845" s="595" t="s">
        <v>938</v>
      </c>
      <c r="F845" s="709"/>
      <c r="G845" s="590"/>
      <c r="H845" s="596"/>
      <c r="I845" s="651"/>
      <c r="J845" s="592" t="s">
        <v>139</v>
      </c>
      <c r="K845" s="685">
        <v>1</v>
      </c>
      <c r="L845" s="648">
        <v>750000</v>
      </c>
      <c r="M845" s="658">
        <f t="shared" si="50"/>
        <v>750000</v>
      </c>
      <c r="N845" s="657"/>
    </row>
    <row r="846" spans="3:14" ht="12.75" hidden="1">
      <c r="C846" s="587"/>
      <c r="D846" s="686"/>
      <c r="E846" s="588" t="s">
        <v>939</v>
      </c>
      <c r="F846" s="709"/>
      <c r="G846" s="590"/>
      <c r="H846" s="596"/>
      <c r="I846" s="651"/>
      <c r="J846" s="592" t="s">
        <v>139</v>
      </c>
      <c r="K846" s="685">
        <v>1</v>
      </c>
      <c r="L846" s="648">
        <f>Bhn!$M$92</f>
        <v>160000</v>
      </c>
      <c r="M846" s="658">
        <f t="shared" si="50"/>
        <v>160000</v>
      </c>
      <c r="N846" s="657"/>
    </row>
    <row r="847" spans="3:14" ht="12.75" hidden="1">
      <c r="C847" s="587"/>
      <c r="D847" s="686"/>
      <c r="E847" s="588" t="s">
        <v>249</v>
      </c>
      <c r="F847" s="709"/>
      <c r="G847" s="590"/>
      <c r="H847" s="596"/>
      <c r="I847" s="651"/>
      <c r="J847" s="592" t="s">
        <v>139</v>
      </c>
      <c r="K847" s="685">
        <v>3</v>
      </c>
      <c r="L847" s="648">
        <f>Bhn!$M$94</f>
        <v>17500</v>
      </c>
      <c r="M847" s="658">
        <f t="shared" si="50"/>
        <v>52500</v>
      </c>
      <c r="N847" s="657"/>
    </row>
    <row r="848" spans="3:14" ht="12.75" hidden="1">
      <c r="C848" s="587"/>
      <c r="D848" s="686"/>
      <c r="E848" s="595" t="s">
        <v>84</v>
      </c>
      <c r="F848" s="709"/>
      <c r="G848" s="590"/>
      <c r="H848" s="596"/>
      <c r="I848" s="651"/>
      <c r="J848" s="592" t="s">
        <v>139</v>
      </c>
      <c r="K848" s="685">
        <v>1</v>
      </c>
      <c r="L848" s="648">
        <f>Bhn!$M$85</f>
        <v>15000</v>
      </c>
      <c r="M848" s="658">
        <f t="shared" si="50"/>
        <v>15000</v>
      </c>
      <c r="N848" s="657"/>
    </row>
    <row r="849" spans="3:14" ht="12.75" hidden="1">
      <c r="C849" s="587"/>
      <c r="D849" s="686"/>
      <c r="E849" s="595" t="s">
        <v>940</v>
      </c>
      <c r="F849" s="709"/>
      <c r="G849" s="590"/>
      <c r="H849" s="596"/>
      <c r="I849" s="651"/>
      <c r="J849" s="592" t="s">
        <v>139</v>
      </c>
      <c r="K849" s="685">
        <v>1</v>
      </c>
      <c r="L849" s="648">
        <f>Bhn!$M$96</f>
        <v>160000</v>
      </c>
      <c r="M849" s="658">
        <f t="shared" si="50"/>
        <v>160000</v>
      </c>
      <c r="N849" s="657"/>
    </row>
    <row r="850" spans="3:14" ht="12.75" hidden="1">
      <c r="C850" s="587"/>
      <c r="D850" s="686"/>
      <c r="E850" s="588" t="s">
        <v>948</v>
      </c>
      <c r="F850" s="709"/>
      <c r="G850" s="590"/>
      <c r="H850" s="596"/>
      <c r="I850" s="651"/>
      <c r="J850" s="592" t="s">
        <v>153</v>
      </c>
      <c r="K850" s="685">
        <v>2</v>
      </c>
      <c r="L850" s="648">
        <v>20000</v>
      </c>
      <c r="M850" s="658">
        <f t="shared" si="50"/>
        <v>40000</v>
      </c>
      <c r="N850" s="657"/>
    </row>
    <row r="851" spans="3:14" ht="12.75" hidden="1">
      <c r="C851" s="587"/>
      <c r="D851" s="686"/>
      <c r="E851" s="595"/>
      <c r="F851" s="709"/>
      <c r="G851" s="590"/>
      <c r="H851" s="596"/>
      <c r="I851" s="651"/>
      <c r="J851" s="592"/>
      <c r="K851" s="664"/>
      <c r="L851" s="648"/>
      <c r="M851" s="658"/>
      <c r="N851" s="657"/>
    </row>
    <row r="852" spans="3:14" ht="12.75" hidden="1">
      <c r="C852" s="587"/>
      <c r="D852" s="686"/>
      <c r="E852" s="595"/>
      <c r="F852" s="709"/>
      <c r="G852" s="590"/>
      <c r="H852" s="596"/>
      <c r="I852" s="651"/>
      <c r="J852" s="592"/>
      <c r="K852" s="664"/>
      <c r="L852" s="648"/>
      <c r="M852" s="658"/>
      <c r="N852" s="657"/>
    </row>
    <row r="853" spans="3:14" ht="12.75" hidden="1">
      <c r="C853" s="694">
        <f>+C724+1</f>
        <v>11</v>
      </c>
      <c r="D853" s="688"/>
      <c r="E853" s="691" t="s">
        <v>949</v>
      </c>
      <c r="F853" s="709"/>
      <c r="G853" s="590"/>
      <c r="H853" s="596"/>
      <c r="I853" s="651"/>
      <c r="J853" s="592"/>
      <c r="K853" s="664"/>
      <c r="L853" s="648"/>
      <c r="M853" s="658"/>
      <c r="N853" s="657">
        <f>SUM(M854:M860)</f>
        <v>2247250</v>
      </c>
    </row>
    <row r="854" spans="3:14" ht="12.75" hidden="1">
      <c r="C854" s="587"/>
      <c r="D854" s="686"/>
      <c r="E854" s="595" t="s">
        <v>1153</v>
      </c>
      <c r="F854" s="709"/>
      <c r="G854" s="590"/>
      <c r="H854" s="596"/>
      <c r="I854" s="651"/>
      <c r="J854" s="592" t="s">
        <v>153</v>
      </c>
      <c r="K854" s="685">
        <v>5.05</v>
      </c>
      <c r="L854" s="648">
        <f>$L$697</f>
        <v>45000</v>
      </c>
      <c r="M854" s="658">
        <f aca="true" t="shared" si="51" ref="M854:M860">L854*K854</f>
        <v>227250</v>
      </c>
      <c r="N854" s="657"/>
    </row>
    <row r="855" spans="3:14" ht="12.75" hidden="1">
      <c r="C855" s="587"/>
      <c r="D855" s="686"/>
      <c r="E855" s="595" t="s">
        <v>941</v>
      </c>
      <c r="F855" s="709"/>
      <c r="G855" s="590"/>
      <c r="H855" s="596"/>
      <c r="I855" s="651"/>
      <c r="J855" s="592" t="s">
        <v>139</v>
      </c>
      <c r="K855" s="685">
        <v>1</v>
      </c>
      <c r="L855" s="648">
        <f>Bhn!$M$68</f>
        <v>750000</v>
      </c>
      <c r="M855" s="658">
        <f t="shared" si="51"/>
        <v>750000</v>
      </c>
      <c r="N855" s="657"/>
    </row>
    <row r="856" spans="3:14" ht="12.75" hidden="1">
      <c r="C856" s="587"/>
      <c r="D856" s="686"/>
      <c r="E856" s="588" t="s">
        <v>936</v>
      </c>
      <c r="F856" s="709"/>
      <c r="G856" s="590"/>
      <c r="H856" s="596"/>
      <c r="I856" s="651"/>
      <c r="J856" s="592" t="s">
        <v>149</v>
      </c>
      <c r="K856" s="685">
        <f>0.65*2</f>
        <v>1.3</v>
      </c>
      <c r="L856" s="648">
        <f>Bhn!$M$79</f>
        <v>285000</v>
      </c>
      <c r="M856" s="658">
        <f t="shared" si="51"/>
        <v>370500</v>
      </c>
      <c r="N856" s="657"/>
    </row>
    <row r="857" spans="3:14" ht="12.75" hidden="1">
      <c r="C857" s="587"/>
      <c r="D857" s="686"/>
      <c r="E857" s="588" t="s">
        <v>939</v>
      </c>
      <c r="F857" s="709"/>
      <c r="G857" s="590"/>
      <c r="H857" s="596"/>
      <c r="I857" s="651"/>
      <c r="J857" s="592" t="s">
        <v>139</v>
      </c>
      <c r="K857" s="685">
        <v>1</v>
      </c>
      <c r="L857" s="648">
        <f>Bhn!$M$92</f>
        <v>160000</v>
      </c>
      <c r="M857" s="658">
        <f t="shared" si="51"/>
        <v>160000</v>
      </c>
      <c r="N857" s="657"/>
    </row>
    <row r="858" spans="3:14" ht="12.75" hidden="1">
      <c r="C858" s="587"/>
      <c r="D858" s="686"/>
      <c r="E858" s="588" t="s">
        <v>249</v>
      </c>
      <c r="F858" s="709"/>
      <c r="G858" s="590"/>
      <c r="H858" s="596"/>
      <c r="I858" s="651"/>
      <c r="J858" s="592" t="s">
        <v>139</v>
      </c>
      <c r="K858" s="685">
        <v>3</v>
      </c>
      <c r="L858" s="648">
        <f>Bhn!$M$94</f>
        <v>17500</v>
      </c>
      <c r="M858" s="658">
        <f t="shared" si="51"/>
        <v>52500</v>
      </c>
      <c r="N858" s="657"/>
    </row>
    <row r="859" spans="3:14" ht="12.75" hidden="1">
      <c r="C859" s="587"/>
      <c r="D859" s="686"/>
      <c r="E859" s="595" t="s">
        <v>84</v>
      </c>
      <c r="F859" s="709"/>
      <c r="G859" s="590"/>
      <c r="H859" s="596"/>
      <c r="I859" s="651"/>
      <c r="J859" s="592" t="s">
        <v>139</v>
      </c>
      <c r="K859" s="685">
        <v>1</v>
      </c>
      <c r="L859" s="648">
        <f>Bhn!$M$85</f>
        <v>15000</v>
      </c>
      <c r="M859" s="658">
        <f t="shared" si="51"/>
        <v>15000</v>
      </c>
      <c r="N859" s="657"/>
    </row>
    <row r="860" spans="3:14" ht="12.75" hidden="1">
      <c r="C860" s="587"/>
      <c r="D860" s="686"/>
      <c r="E860" s="595" t="s">
        <v>950</v>
      </c>
      <c r="F860" s="709"/>
      <c r="G860" s="590"/>
      <c r="H860" s="596"/>
      <c r="I860" s="651"/>
      <c r="J860" s="592" t="s">
        <v>149</v>
      </c>
      <c r="K860" s="664">
        <f>0.8*2.1</f>
        <v>1.6800000000000002</v>
      </c>
      <c r="L860" s="648">
        <v>400000</v>
      </c>
      <c r="M860" s="658">
        <f t="shared" si="51"/>
        <v>672000.0000000001</v>
      </c>
      <c r="N860" s="657"/>
    </row>
    <row r="861" spans="3:14" ht="12.75" hidden="1">
      <c r="C861" s="587"/>
      <c r="D861" s="686"/>
      <c r="E861" s="595"/>
      <c r="F861" s="709"/>
      <c r="G861" s="590"/>
      <c r="H861" s="596"/>
      <c r="I861" s="651"/>
      <c r="J861" s="592"/>
      <c r="K861" s="664"/>
      <c r="L861" s="648"/>
      <c r="M861" s="658"/>
      <c r="N861" s="657"/>
    </row>
    <row r="862" spans="3:14" ht="12.75">
      <c r="C862" s="694">
        <f>+C853+1</f>
        <v>12</v>
      </c>
      <c r="D862" s="688"/>
      <c r="E862" s="691" t="s">
        <v>951</v>
      </c>
      <c r="F862" s="709"/>
      <c r="G862" s="590"/>
      <c r="H862" s="596"/>
      <c r="I862" s="651"/>
      <c r="J862" s="592"/>
      <c r="K862" s="664"/>
      <c r="L862" s="648"/>
      <c r="M862" s="658"/>
      <c r="N862" s="657">
        <f>SUM(M863:M865)</f>
        <v>1596225</v>
      </c>
    </row>
    <row r="863" spans="3:14" ht="12.75">
      <c r="C863" s="587"/>
      <c r="D863" s="686"/>
      <c r="E863" s="595" t="s">
        <v>1153</v>
      </c>
      <c r="F863" s="709"/>
      <c r="G863" s="590"/>
      <c r="H863" s="596"/>
      <c r="I863" s="651"/>
      <c r="J863" s="592" t="s">
        <v>153</v>
      </c>
      <c r="K863" s="685">
        <f>+Sheet2!C62</f>
        <v>14.7</v>
      </c>
      <c r="L863" s="648">
        <f>$L$697</f>
        <v>45000</v>
      </c>
      <c r="M863" s="658">
        <f>L863*K863</f>
        <v>661500</v>
      </c>
      <c r="N863" s="657"/>
    </row>
    <row r="864" spans="3:14" ht="12.75">
      <c r="C864" s="587"/>
      <c r="D864" s="686"/>
      <c r="E864" s="588" t="s">
        <v>936</v>
      </c>
      <c r="F864" s="709"/>
      <c r="G864" s="590"/>
      <c r="H864" s="596"/>
      <c r="I864" s="651"/>
      <c r="J864" s="592" t="s">
        <v>149</v>
      </c>
      <c r="K864" s="685">
        <f>+Sheet2!E62</f>
        <v>3.125</v>
      </c>
      <c r="L864" s="648">
        <f>Bhn!$M$79</f>
        <v>285000</v>
      </c>
      <c r="M864" s="658">
        <f>L864*K864</f>
        <v>890625</v>
      </c>
      <c r="N864" s="657"/>
    </row>
    <row r="865" spans="3:14" ht="12.75">
      <c r="C865" s="587"/>
      <c r="D865" s="686"/>
      <c r="E865" s="595" t="s">
        <v>952</v>
      </c>
      <c r="F865" s="709"/>
      <c r="G865" s="590"/>
      <c r="H865" s="596"/>
      <c r="I865" s="651"/>
      <c r="J865" s="592" t="s">
        <v>153</v>
      </c>
      <c r="K865" s="664">
        <f>+K863</f>
        <v>14.7</v>
      </c>
      <c r="L865" s="648">
        <v>3000</v>
      </c>
      <c r="M865" s="658">
        <f>L865*K865</f>
        <v>44100</v>
      </c>
      <c r="N865" s="657"/>
    </row>
    <row r="866" spans="3:14" ht="12.75">
      <c r="C866" s="587"/>
      <c r="D866" s="686"/>
      <c r="E866" s="595"/>
      <c r="F866" s="709"/>
      <c r="G866" s="590"/>
      <c r="H866" s="596"/>
      <c r="I866" s="651"/>
      <c r="J866" s="592"/>
      <c r="K866" s="664"/>
      <c r="L866" s="648"/>
      <c r="M866" s="658"/>
      <c r="N866" s="657"/>
    </row>
    <row r="867" spans="3:14" ht="12.75">
      <c r="C867" s="694">
        <f>+C862+1</f>
        <v>13</v>
      </c>
      <c r="D867" s="688"/>
      <c r="E867" s="691" t="s">
        <v>953</v>
      </c>
      <c r="F867" s="709"/>
      <c r="G867" s="590"/>
      <c r="H867" s="596"/>
      <c r="I867" s="651"/>
      <c r="J867" s="592"/>
      <c r="K867" s="664"/>
      <c r="L867" s="648"/>
      <c r="M867" s="658"/>
      <c r="N867" s="657">
        <f>SUM(M868:M872)</f>
        <v>831400</v>
      </c>
    </row>
    <row r="868" spans="3:14" ht="12.75">
      <c r="C868" s="587"/>
      <c r="D868" s="686"/>
      <c r="E868" s="595" t="s">
        <v>1153</v>
      </c>
      <c r="F868" s="709"/>
      <c r="G868" s="590"/>
      <c r="H868" s="596"/>
      <c r="I868" s="651"/>
      <c r="J868" s="592" t="s">
        <v>153</v>
      </c>
      <c r="K868" s="685"/>
      <c r="L868" s="648">
        <f>$L$697</f>
        <v>45000</v>
      </c>
      <c r="M868" s="658">
        <f>L868*K868</f>
        <v>0</v>
      </c>
      <c r="N868" s="657"/>
    </row>
    <row r="869" spans="3:14" ht="12.75">
      <c r="C869" s="694"/>
      <c r="D869" s="686"/>
      <c r="E869" s="595" t="s">
        <v>1229</v>
      </c>
      <c r="F869" s="709"/>
      <c r="G869" s="590"/>
      <c r="H869" s="596"/>
      <c r="I869" s="651"/>
      <c r="J869" s="592" t="s">
        <v>134</v>
      </c>
      <c r="K869" s="685">
        <f>6*0.12*0.06</f>
        <v>0.043199999999999995</v>
      </c>
      <c r="L869" s="648">
        <f>+Bhn!$I$54</f>
        <v>4750000</v>
      </c>
      <c r="M869" s="658">
        <f>L869*K869</f>
        <v>205199.99999999997</v>
      </c>
      <c r="N869" s="657"/>
    </row>
    <row r="870" spans="3:14" ht="12.75">
      <c r="C870" s="694"/>
      <c r="D870" s="686"/>
      <c r="E870" s="595" t="s">
        <v>1235</v>
      </c>
      <c r="F870" s="709"/>
      <c r="G870" s="590"/>
      <c r="H870" s="596"/>
      <c r="I870" s="651"/>
      <c r="J870" s="592" t="s">
        <v>149</v>
      </c>
      <c r="K870" s="685">
        <v>1</v>
      </c>
      <c r="L870" s="648">
        <v>250000</v>
      </c>
      <c r="M870" s="658">
        <f>L870*K870</f>
        <v>250000</v>
      </c>
      <c r="N870" s="657"/>
    </row>
    <row r="871" spans="3:14" ht="12.75">
      <c r="C871" s="587"/>
      <c r="D871" s="686"/>
      <c r="E871" s="588" t="s">
        <v>936</v>
      </c>
      <c r="F871" s="709"/>
      <c r="G871" s="590"/>
      <c r="H871" s="596"/>
      <c r="I871" s="651"/>
      <c r="J871" s="592" t="s">
        <v>149</v>
      </c>
      <c r="K871" s="685">
        <f>+Sheet2!E63</f>
        <v>1.32</v>
      </c>
      <c r="L871" s="648">
        <f>Bhn!$M$79</f>
        <v>285000</v>
      </c>
      <c r="M871" s="658">
        <f>L871*K871</f>
        <v>376200</v>
      </c>
      <c r="N871" s="657"/>
    </row>
    <row r="872" spans="3:14" ht="12.75">
      <c r="C872" s="587"/>
      <c r="D872" s="686"/>
      <c r="E872" s="595" t="s">
        <v>952</v>
      </c>
      <c r="F872" s="709"/>
      <c r="G872" s="590"/>
      <c r="H872" s="596"/>
      <c r="I872" s="651"/>
      <c r="J872" s="592" t="s">
        <v>153</v>
      </c>
      <c r="K872" s="685">
        <f>+K868</f>
        <v>0</v>
      </c>
      <c r="L872" s="648">
        <f>$L$865</f>
        <v>3000</v>
      </c>
      <c r="M872" s="658">
        <f>L872*K872</f>
        <v>0</v>
      </c>
      <c r="N872" s="657"/>
    </row>
    <row r="873" spans="3:14" ht="12.75">
      <c r="C873" s="587"/>
      <c r="D873" s="686"/>
      <c r="E873" s="595"/>
      <c r="F873" s="709"/>
      <c r="G873" s="590"/>
      <c r="H873" s="596"/>
      <c r="I873" s="651"/>
      <c r="J873" s="592"/>
      <c r="K873" s="664"/>
      <c r="L873" s="648"/>
      <c r="M873" s="658"/>
      <c r="N873" s="657"/>
    </row>
    <row r="874" spans="3:14" ht="12.75">
      <c r="C874" s="694">
        <f>+C867+1</f>
        <v>14</v>
      </c>
      <c r="D874" s="688"/>
      <c r="E874" s="691" t="s">
        <v>954</v>
      </c>
      <c r="F874" s="709"/>
      <c r="G874" s="590"/>
      <c r="H874" s="596"/>
      <c r="I874" s="651"/>
      <c r="J874" s="592"/>
      <c r="K874" s="664"/>
      <c r="L874" s="648"/>
      <c r="M874" s="658"/>
      <c r="N874" s="657">
        <f>SUM(M875:M879)</f>
        <v>1460760</v>
      </c>
    </row>
    <row r="875" spans="3:14" ht="12.75">
      <c r="C875" s="587"/>
      <c r="D875" s="686"/>
      <c r="E875" s="595" t="s">
        <v>1153</v>
      </c>
      <c r="F875" s="709"/>
      <c r="G875" s="590"/>
      <c r="H875" s="596"/>
      <c r="I875" s="651"/>
      <c r="J875" s="592" t="s">
        <v>153</v>
      </c>
      <c r="K875" s="685"/>
      <c r="L875" s="648">
        <f>$L$697</f>
        <v>45000</v>
      </c>
      <c r="M875" s="658">
        <f>L875*K875</f>
        <v>0</v>
      </c>
      <c r="N875" s="657"/>
    </row>
    <row r="876" spans="3:14" ht="12.75">
      <c r="C876" s="694"/>
      <c r="D876" s="686"/>
      <c r="E876" s="595" t="s">
        <v>1229</v>
      </c>
      <c r="F876" s="709"/>
      <c r="G876" s="590"/>
      <c r="H876" s="596"/>
      <c r="I876" s="651"/>
      <c r="J876" s="592" t="s">
        <v>134</v>
      </c>
      <c r="K876" s="685">
        <f>7.8*0.12*0.06</f>
        <v>0.056159999999999995</v>
      </c>
      <c r="L876" s="648">
        <f>+Bhn!$I$54</f>
        <v>4750000</v>
      </c>
      <c r="M876" s="658">
        <f>L876*K876</f>
        <v>266760</v>
      </c>
      <c r="N876" s="657"/>
    </row>
    <row r="877" spans="3:14" ht="12.75">
      <c r="C877" s="694"/>
      <c r="D877" s="686"/>
      <c r="E877" s="595" t="s">
        <v>1235</v>
      </c>
      <c r="F877" s="709"/>
      <c r="G877" s="590"/>
      <c r="H877" s="596"/>
      <c r="I877" s="651"/>
      <c r="J877" s="592" t="s">
        <v>149</v>
      </c>
      <c r="K877" s="685">
        <f>1.7*2</f>
        <v>3.4</v>
      </c>
      <c r="L877" s="648">
        <v>150000</v>
      </c>
      <c r="M877" s="658">
        <f>L877*K877</f>
        <v>510000</v>
      </c>
      <c r="N877" s="657"/>
    </row>
    <row r="878" spans="3:14" ht="12.75">
      <c r="C878" s="587"/>
      <c r="D878" s="686"/>
      <c r="E878" s="588" t="s">
        <v>936</v>
      </c>
      <c r="F878" s="709"/>
      <c r="G878" s="590"/>
      <c r="H878" s="596"/>
      <c r="I878" s="651"/>
      <c r="J878" s="592" t="s">
        <v>149</v>
      </c>
      <c r="K878" s="685">
        <f>+Sheet2!E64</f>
        <v>2.4</v>
      </c>
      <c r="L878" s="648">
        <f>Bhn!$M$79</f>
        <v>285000</v>
      </c>
      <c r="M878" s="658">
        <f>L878*K878</f>
        <v>684000</v>
      </c>
      <c r="N878" s="657"/>
    </row>
    <row r="879" spans="3:14" ht="12.75">
      <c r="C879" s="587"/>
      <c r="D879" s="686"/>
      <c r="E879" s="595" t="s">
        <v>952</v>
      </c>
      <c r="F879" s="709"/>
      <c r="G879" s="590"/>
      <c r="H879" s="596"/>
      <c r="I879" s="651"/>
      <c r="J879" s="592" t="s">
        <v>153</v>
      </c>
      <c r="K879" s="664">
        <f>+K875</f>
        <v>0</v>
      </c>
      <c r="L879" s="648">
        <f>$L$865</f>
        <v>3000</v>
      </c>
      <c r="M879" s="658">
        <f>L879*K879</f>
        <v>0</v>
      </c>
      <c r="N879" s="657"/>
    </row>
    <row r="880" spans="3:14" ht="12.75">
      <c r="C880" s="587"/>
      <c r="D880" s="686"/>
      <c r="E880" s="595"/>
      <c r="F880" s="709"/>
      <c r="G880" s="590"/>
      <c r="H880" s="596"/>
      <c r="I880" s="651"/>
      <c r="J880" s="592"/>
      <c r="K880" s="664"/>
      <c r="L880" s="648"/>
      <c r="M880" s="658"/>
      <c r="N880" s="657"/>
    </row>
    <row r="881" spans="3:14" ht="12.75">
      <c r="C881" s="694">
        <f>+C874+1</f>
        <v>15</v>
      </c>
      <c r="D881" s="688"/>
      <c r="E881" s="691" t="s">
        <v>955</v>
      </c>
      <c r="F881" s="709"/>
      <c r="G881" s="590"/>
      <c r="H881" s="596"/>
      <c r="I881" s="651"/>
      <c r="J881" s="592"/>
      <c r="K881" s="664"/>
      <c r="L881" s="648"/>
      <c r="M881" s="658"/>
      <c r="N881" s="657">
        <f>SUM(M882:M885)</f>
        <v>482750</v>
      </c>
    </row>
    <row r="882" spans="3:14" ht="12.75">
      <c r="C882" s="587"/>
      <c r="D882" s="686"/>
      <c r="E882" s="595" t="s">
        <v>1153</v>
      </c>
      <c r="F882" s="709"/>
      <c r="G882" s="590"/>
      <c r="H882" s="596"/>
      <c r="I882" s="651"/>
      <c r="J882" s="592" t="s">
        <v>153</v>
      </c>
      <c r="K882" s="685">
        <f>+Sheet2!C65</f>
        <v>4</v>
      </c>
      <c r="L882" s="648">
        <f>$L$697</f>
        <v>45000</v>
      </c>
      <c r="M882" s="658">
        <f>L882*K882</f>
        <v>180000</v>
      </c>
      <c r="N882" s="657"/>
    </row>
    <row r="883" spans="3:14" ht="12.75">
      <c r="C883" s="694"/>
      <c r="D883" s="686"/>
      <c r="E883" s="595" t="s">
        <v>1235</v>
      </c>
      <c r="F883" s="709"/>
      <c r="G883" s="590"/>
      <c r="H883" s="596"/>
      <c r="I883" s="651"/>
      <c r="J883" s="592" t="s">
        <v>149</v>
      </c>
      <c r="K883" s="685">
        <v>0.65</v>
      </c>
      <c r="L883" s="648">
        <v>250000</v>
      </c>
      <c r="M883" s="658">
        <f>L883*K883</f>
        <v>162500</v>
      </c>
      <c r="N883" s="657"/>
    </row>
    <row r="884" spans="3:14" ht="12.75">
      <c r="C884" s="587"/>
      <c r="D884" s="686"/>
      <c r="E884" s="588" t="s">
        <v>936</v>
      </c>
      <c r="F884" s="709"/>
      <c r="G884" s="590"/>
      <c r="H884" s="596"/>
      <c r="I884" s="651"/>
      <c r="J884" s="592" t="s">
        <v>149</v>
      </c>
      <c r="K884" s="685">
        <f>+Sheet2!E65</f>
        <v>0.45</v>
      </c>
      <c r="L884" s="648">
        <f>Bhn!$M$79</f>
        <v>285000</v>
      </c>
      <c r="M884" s="658">
        <f>L884*K884</f>
        <v>128250</v>
      </c>
      <c r="N884" s="657"/>
    </row>
    <row r="885" spans="3:14" ht="12.75">
      <c r="C885" s="587"/>
      <c r="D885" s="686"/>
      <c r="E885" s="595" t="s">
        <v>952</v>
      </c>
      <c r="F885" s="709"/>
      <c r="G885" s="590"/>
      <c r="H885" s="596"/>
      <c r="I885" s="651"/>
      <c r="J885" s="592" t="s">
        <v>153</v>
      </c>
      <c r="K885" s="664">
        <f>+K882</f>
        <v>4</v>
      </c>
      <c r="L885" s="648">
        <f>$L$865</f>
        <v>3000</v>
      </c>
      <c r="M885" s="658">
        <f>L885*K885</f>
        <v>12000</v>
      </c>
      <c r="N885" s="657"/>
    </row>
    <row r="886" spans="3:14" ht="12.75">
      <c r="C886" s="587"/>
      <c r="D886" s="686"/>
      <c r="E886" s="595"/>
      <c r="F886" s="709"/>
      <c r="G886" s="590"/>
      <c r="H886" s="596"/>
      <c r="I886" s="651"/>
      <c r="J886" s="592"/>
      <c r="K886" s="685"/>
      <c r="L886" s="648"/>
      <c r="M886" s="658"/>
      <c r="N886" s="657"/>
    </row>
    <row r="887" spans="3:14" ht="12.75">
      <c r="C887" s="694">
        <f>+C881+1</f>
        <v>16</v>
      </c>
      <c r="D887" s="688"/>
      <c r="E887" s="691" t="s">
        <v>956</v>
      </c>
      <c r="F887" s="709"/>
      <c r="G887" s="590"/>
      <c r="H887" s="596"/>
      <c r="I887" s="651"/>
      <c r="J887" s="592"/>
      <c r="K887" s="664"/>
      <c r="L887" s="648"/>
      <c r="M887" s="658"/>
      <c r="N887" s="657">
        <f>SUM(M888:M891)</f>
        <v>276340</v>
      </c>
    </row>
    <row r="888" spans="3:14" ht="12.75">
      <c r="C888" s="587"/>
      <c r="D888" s="686"/>
      <c r="E888" s="595" t="s">
        <v>1153</v>
      </c>
      <c r="F888" s="709"/>
      <c r="G888" s="590"/>
      <c r="H888" s="596"/>
      <c r="I888" s="651"/>
      <c r="J888" s="592" t="s">
        <v>153</v>
      </c>
      <c r="K888" s="685">
        <f>+Sheet2!C66</f>
        <v>3.6</v>
      </c>
      <c r="L888" s="648">
        <f>$L$697</f>
        <v>45000</v>
      </c>
      <c r="M888" s="658">
        <f>L888*K888</f>
        <v>162000</v>
      </c>
      <c r="N888" s="657"/>
    </row>
    <row r="889" spans="3:14" ht="12.75">
      <c r="C889" s="587"/>
      <c r="D889" s="686"/>
      <c r="E889" s="588" t="s">
        <v>936</v>
      </c>
      <c r="F889" s="709"/>
      <c r="G889" s="590"/>
      <c r="H889" s="596"/>
      <c r="I889" s="651"/>
      <c r="J889" s="592" t="s">
        <v>149</v>
      </c>
      <c r="K889" s="685">
        <f>+Sheet2!E66</f>
        <v>0.144</v>
      </c>
      <c r="L889" s="648">
        <f>Bhn!$M$79</f>
        <v>285000</v>
      </c>
      <c r="M889" s="658">
        <f>L889*K889</f>
        <v>41040</v>
      </c>
      <c r="N889" s="657"/>
    </row>
    <row r="890" spans="3:14" ht="12.75">
      <c r="C890" s="694"/>
      <c r="D890" s="686"/>
      <c r="E890" s="595" t="s">
        <v>1235</v>
      </c>
      <c r="F890" s="709"/>
      <c r="G890" s="590"/>
      <c r="H890" s="596"/>
      <c r="I890" s="651"/>
      <c r="J890" s="592" t="s">
        <v>149</v>
      </c>
      <c r="K890" s="685">
        <v>0.25</v>
      </c>
      <c r="L890" s="648">
        <v>250000</v>
      </c>
      <c r="M890" s="658">
        <f>L890*K890</f>
        <v>62500</v>
      </c>
      <c r="N890" s="657"/>
    </row>
    <row r="891" spans="3:14" ht="12.75">
      <c r="C891" s="587"/>
      <c r="D891" s="686"/>
      <c r="E891" s="595" t="s">
        <v>952</v>
      </c>
      <c r="F891" s="709"/>
      <c r="G891" s="590"/>
      <c r="H891" s="596"/>
      <c r="I891" s="651"/>
      <c r="J891" s="592" t="s">
        <v>153</v>
      </c>
      <c r="K891" s="664">
        <f>+K888</f>
        <v>3.6</v>
      </c>
      <c r="L891" s="648">
        <f>$L$865</f>
        <v>3000</v>
      </c>
      <c r="M891" s="658">
        <f>L891*K891</f>
        <v>10800</v>
      </c>
      <c r="N891" s="657"/>
    </row>
    <row r="892" spans="3:14" ht="12.75">
      <c r="C892" s="587"/>
      <c r="D892" s="686"/>
      <c r="E892" s="595"/>
      <c r="F892" s="709"/>
      <c r="G892" s="590"/>
      <c r="H892" s="596"/>
      <c r="I892" s="651"/>
      <c r="J892" s="592"/>
      <c r="K892" s="664"/>
      <c r="L892" s="648"/>
      <c r="M892" s="658"/>
      <c r="N892" s="657"/>
    </row>
    <row r="893" spans="3:14" ht="12.75">
      <c r="C893" s="694">
        <f>+C887+1</f>
        <v>17</v>
      </c>
      <c r="D893" s="688"/>
      <c r="E893" s="691" t="s">
        <v>957</v>
      </c>
      <c r="F893" s="709"/>
      <c r="G893" s="590"/>
      <c r="H893" s="596"/>
      <c r="I893" s="651"/>
      <c r="J893" s="592"/>
      <c r="K893" s="664"/>
      <c r="L893" s="648"/>
      <c r="M893" s="658"/>
      <c r="N893" s="657">
        <f>SUM(M894:M897)</f>
        <v>1823700</v>
      </c>
    </row>
    <row r="894" spans="3:14" ht="12.75">
      <c r="C894" s="587"/>
      <c r="D894" s="686"/>
      <c r="E894" s="595" t="s">
        <v>1153</v>
      </c>
      <c r="F894" s="709"/>
      <c r="G894" s="590"/>
      <c r="H894" s="596"/>
      <c r="I894" s="651"/>
      <c r="J894" s="592" t="s">
        <v>153</v>
      </c>
      <c r="K894" s="685">
        <f>+Sheet2!C67</f>
        <v>9.9</v>
      </c>
      <c r="L894" s="648">
        <f>$L$697</f>
        <v>45000</v>
      </c>
      <c r="M894" s="658">
        <f>L894*K894</f>
        <v>445500</v>
      </c>
      <c r="N894" s="657"/>
    </row>
    <row r="895" spans="3:14" ht="12.75">
      <c r="C895" s="694"/>
      <c r="D895" s="686"/>
      <c r="E895" s="595" t="s">
        <v>1235</v>
      </c>
      <c r="F895" s="709"/>
      <c r="G895" s="590"/>
      <c r="H895" s="596"/>
      <c r="I895" s="651"/>
      <c r="J895" s="592" t="s">
        <v>149</v>
      </c>
      <c r="K895" s="685">
        <f>4*0.75</f>
        <v>3</v>
      </c>
      <c r="L895" s="648">
        <v>250000</v>
      </c>
      <c r="M895" s="658">
        <f>L895*K895</f>
        <v>750000</v>
      </c>
      <c r="N895" s="657"/>
    </row>
    <row r="896" spans="3:14" ht="12.75">
      <c r="C896" s="587"/>
      <c r="D896" s="686"/>
      <c r="E896" s="588" t="s">
        <v>936</v>
      </c>
      <c r="F896" s="709"/>
      <c r="G896" s="590"/>
      <c r="H896" s="596"/>
      <c r="I896" s="651"/>
      <c r="J896" s="592" t="s">
        <v>149</v>
      </c>
      <c r="K896" s="685">
        <f>+Sheet2!E67</f>
        <v>2.1</v>
      </c>
      <c r="L896" s="648">
        <f>Bhn!$M$79</f>
        <v>285000</v>
      </c>
      <c r="M896" s="658">
        <f>L896*K896</f>
        <v>598500</v>
      </c>
      <c r="N896" s="657"/>
    </row>
    <row r="897" spans="3:14" ht="12.75">
      <c r="C897" s="587"/>
      <c r="D897" s="686"/>
      <c r="E897" s="595" t="s">
        <v>952</v>
      </c>
      <c r="F897" s="709"/>
      <c r="G897" s="590"/>
      <c r="H897" s="596"/>
      <c r="I897" s="651"/>
      <c r="J897" s="592" t="s">
        <v>153</v>
      </c>
      <c r="K897" s="664">
        <f>+K894</f>
        <v>9.9</v>
      </c>
      <c r="L897" s="648">
        <f>$L$865</f>
        <v>3000</v>
      </c>
      <c r="M897" s="658">
        <f>L897*K897</f>
        <v>29700</v>
      </c>
      <c r="N897" s="657"/>
    </row>
    <row r="898" spans="3:14" ht="12.75">
      <c r="C898" s="587"/>
      <c r="D898" s="686"/>
      <c r="E898" s="595"/>
      <c r="F898" s="709"/>
      <c r="G898" s="590"/>
      <c r="H898" s="596"/>
      <c r="I898" s="651"/>
      <c r="J898" s="592"/>
      <c r="K898" s="664"/>
      <c r="L898" s="648"/>
      <c r="M898" s="658"/>
      <c r="N898" s="657"/>
    </row>
    <row r="899" spans="3:14" ht="12.75">
      <c r="C899" s="694">
        <f>+C893+1</f>
        <v>18</v>
      </c>
      <c r="D899" s="688"/>
      <c r="E899" s="691" t="s">
        <v>958</v>
      </c>
      <c r="F899" s="709"/>
      <c r="G899" s="590"/>
      <c r="H899" s="596"/>
      <c r="I899" s="651"/>
      <c r="J899" s="592"/>
      <c r="K899" s="664"/>
      <c r="L899" s="648"/>
      <c r="M899" s="658"/>
      <c r="N899" s="657">
        <f>SUM(M900:M903)</f>
        <v>881900</v>
      </c>
    </row>
    <row r="900" spans="3:14" ht="12.75">
      <c r="C900" s="587"/>
      <c r="D900" s="686"/>
      <c r="E900" s="595" t="s">
        <v>1153</v>
      </c>
      <c r="F900" s="709"/>
      <c r="G900" s="590"/>
      <c r="H900" s="596"/>
      <c r="I900" s="651"/>
      <c r="J900" s="592" t="s">
        <v>153</v>
      </c>
      <c r="K900" s="685">
        <f>+Sheet2!C68</f>
        <v>5.5</v>
      </c>
      <c r="L900" s="648">
        <f>$L$697</f>
        <v>45000</v>
      </c>
      <c r="M900" s="658">
        <f>L900*K900</f>
        <v>247500</v>
      </c>
      <c r="N900" s="657"/>
    </row>
    <row r="901" spans="3:14" ht="12.75">
      <c r="C901" s="694"/>
      <c r="D901" s="686"/>
      <c r="E901" s="595" t="s">
        <v>1235</v>
      </c>
      <c r="F901" s="709"/>
      <c r="G901" s="590"/>
      <c r="H901" s="596"/>
      <c r="I901" s="651"/>
      <c r="J901" s="592" t="s">
        <v>149</v>
      </c>
      <c r="K901" s="685">
        <f>0.7*2</f>
        <v>1.4</v>
      </c>
      <c r="L901" s="648">
        <v>250000</v>
      </c>
      <c r="M901" s="658">
        <f>L901*K901</f>
        <v>350000</v>
      </c>
      <c r="N901" s="657"/>
    </row>
    <row r="902" spans="3:14" ht="12.75">
      <c r="C902" s="587"/>
      <c r="D902" s="686"/>
      <c r="E902" s="588" t="s">
        <v>936</v>
      </c>
      <c r="F902" s="709"/>
      <c r="G902" s="590"/>
      <c r="H902" s="596"/>
      <c r="I902" s="651"/>
      <c r="J902" s="592" t="s">
        <v>149</v>
      </c>
      <c r="K902" s="685">
        <f>+Sheet2!E68</f>
        <v>0.94</v>
      </c>
      <c r="L902" s="648">
        <f>Bhn!$M$79</f>
        <v>285000</v>
      </c>
      <c r="M902" s="658">
        <f>L902*K902</f>
        <v>267900</v>
      </c>
      <c r="N902" s="657"/>
    </row>
    <row r="903" spans="3:14" ht="12.75">
      <c r="C903" s="587"/>
      <c r="D903" s="686"/>
      <c r="E903" s="595" t="s">
        <v>952</v>
      </c>
      <c r="F903" s="709"/>
      <c r="G903" s="590"/>
      <c r="H903" s="596"/>
      <c r="I903" s="651"/>
      <c r="J903" s="592" t="s">
        <v>153</v>
      </c>
      <c r="K903" s="664">
        <f>+K900</f>
        <v>5.5</v>
      </c>
      <c r="L903" s="648">
        <f>$L$865</f>
        <v>3000</v>
      </c>
      <c r="M903" s="658">
        <f>L903*K903</f>
        <v>16500</v>
      </c>
      <c r="N903" s="657"/>
    </row>
    <row r="904" spans="3:14" ht="12.75">
      <c r="C904" s="587"/>
      <c r="D904" s="686"/>
      <c r="E904" s="588"/>
      <c r="F904" s="709"/>
      <c r="G904" s="590"/>
      <c r="H904" s="596"/>
      <c r="I904" s="651"/>
      <c r="J904" s="592"/>
      <c r="K904" s="685"/>
      <c r="L904" s="648"/>
      <c r="M904" s="658"/>
      <c r="N904" s="657"/>
    </row>
    <row r="905" spans="3:14" ht="12.75">
      <c r="C905" s="694">
        <f>+C899+1</f>
        <v>19</v>
      </c>
      <c r="D905" s="688"/>
      <c r="E905" s="691" t="s">
        <v>959</v>
      </c>
      <c r="F905" s="709"/>
      <c r="G905" s="590"/>
      <c r="H905" s="596"/>
      <c r="I905" s="651"/>
      <c r="J905" s="592"/>
      <c r="K905" s="664"/>
      <c r="L905" s="648"/>
      <c r="M905" s="658"/>
      <c r="N905" s="657">
        <f>SUM(M906:M911)</f>
        <v>530500</v>
      </c>
    </row>
    <row r="906" spans="3:14" ht="12.75">
      <c r="C906" s="587"/>
      <c r="D906" s="686"/>
      <c r="E906" s="595" t="s">
        <v>1153</v>
      </c>
      <c r="F906" s="709"/>
      <c r="G906" s="590"/>
      <c r="H906" s="596"/>
      <c r="I906" s="651"/>
      <c r="J906" s="592" t="s">
        <v>153</v>
      </c>
      <c r="K906" s="685">
        <f>+Sheet2!C69</f>
        <v>7.5</v>
      </c>
      <c r="L906" s="648">
        <f>$L$697</f>
        <v>45000</v>
      </c>
      <c r="M906" s="658">
        <f aca="true" t="shared" si="52" ref="M906:M911">L906*K906</f>
        <v>337500</v>
      </c>
      <c r="N906" s="657"/>
    </row>
    <row r="907" spans="3:14" ht="12.75" hidden="1">
      <c r="C907" s="694"/>
      <c r="D907" s="686"/>
      <c r="E907" s="595" t="s">
        <v>1235</v>
      </c>
      <c r="F907" s="709"/>
      <c r="G907" s="590"/>
      <c r="H907" s="596"/>
      <c r="I907" s="651"/>
      <c r="J907" s="592" t="s">
        <v>149</v>
      </c>
      <c r="K907" s="685"/>
      <c r="L907" s="648">
        <v>250000</v>
      </c>
      <c r="M907" s="658">
        <f t="shared" si="52"/>
        <v>0</v>
      </c>
      <c r="N907" s="657"/>
    </row>
    <row r="908" spans="3:14" ht="12.75" hidden="1">
      <c r="C908" s="587"/>
      <c r="D908" s="686"/>
      <c r="E908" s="595" t="s">
        <v>961</v>
      </c>
      <c r="F908" s="709"/>
      <c r="G908" s="590"/>
      <c r="H908" s="596"/>
      <c r="I908" s="651"/>
      <c r="J908" s="592" t="s">
        <v>139</v>
      </c>
      <c r="K908" s="685"/>
      <c r="L908" s="648">
        <f>Bhn!$M$70</f>
        <v>300000</v>
      </c>
      <c r="M908" s="658">
        <f t="shared" si="52"/>
        <v>0</v>
      </c>
      <c r="N908" s="657"/>
    </row>
    <row r="909" spans="3:14" ht="12.75">
      <c r="C909" s="587"/>
      <c r="D909" s="686"/>
      <c r="E909" s="588" t="s">
        <v>1239</v>
      </c>
      <c r="F909" s="709"/>
      <c r="G909" s="590"/>
      <c r="H909" s="596"/>
      <c r="I909" s="651"/>
      <c r="J909" s="592" t="s">
        <v>149</v>
      </c>
      <c r="K909" s="685">
        <f>+Sheet2!E69</f>
        <v>3.1</v>
      </c>
      <c r="L909" s="648">
        <f>+Bhn!I76</f>
        <v>55000</v>
      </c>
      <c r="M909" s="658">
        <f t="shared" si="52"/>
        <v>170500</v>
      </c>
      <c r="N909" s="657"/>
    </row>
    <row r="910" spans="3:14" ht="12.75">
      <c r="C910" s="587"/>
      <c r="D910" s="686"/>
      <c r="E910" s="595" t="s">
        <v>952</v>
      </c>
      <c r="F910" s="709"/>
      <c r="G910" s="590"/>
      <c r="H910" s="596"/>
      <c r="I910" s="651"/>
      <c r="J910" s="592" t="s">
        <v>153</v>
      </c>
      <c r="K910" s="664">
        <f>+K906</f>
        <v>7.5</v>
      </c>
      <c r="L910" s="648">
        <f>$L$865</f>
        <v>3000</v>
      </c>
      <c r="M910" s="658">
        <f t="shared" si="52"/>
        <v>22500</v>
      </c>
      <c r="N910" s="657"/>
    </row>
    <row r="911" spans="3:14" ht="12.75" hidden="1">
      <c r="C911" s="587"/>
      <c r="D911" s="686"/>
      <c r="E911" s="595" t="s">
        <v>963</v>
      </c>
      <c r="F911" s="709"/>
      <c r="G911" s="590"/>
      <c r="H911" s="596"/>
      <c r="I911" s="651"/>
      <c r="J911" s="592" t="s">
        <v>139</v>
      </c>
      <c r="K911" s="664"/>
      <c r="L911" s="648">
        <f>Bhn!M85</f>
        <v>15000</v>
      </c>
      <c r="M911" s="658">
        <f t="shared" si="52"/>
        <v>0</v>
      </c>
      <c r="N911" s="657"/>
    </row>
    <row r="912" spans="3:14" ht="12.75">
      <c r="C912" s="587"/>
      <c r="D912" s="686"/>
      <c r="E912" s="595"/>
      <c r="F912" s="709"/>
      <c r="G912" s="590"/>
      <c r="H912" s="596"/>
      <c r="I912" s="651"/>
      <c r="J912" s="592"/>
      <c r="K912" s="685"/>
      <c r="L912" s="648"/>
      <c r="M912" s="658"/>
      <c r="N912" s="657"/>
    </row>
    <row r="913" spans="3:14" ht="12.75">
      <c r="C913" s="694">
        <f>+C905+1</f>
        <v>20</v>
      </c>
      <c r="D913" s="688"/>
      <c r="E913" s="691" t="s">
        <v>960</v>
      </c>
      <c r="F913" s="709"/>
      <c r="G913" s="590"/>
      <c r="H913" s="596"/>
      <c r="I913" s="651"/>
      <c r="J913" s="592"/>
      <c r="K913" s="664"/>
      <c r="L913" s="648"/>
      <c r="M913" s="658"/>
      <c r="N913" s="657">
        <f>SUM(M915:M916)</f>
        <v>763200</v>
      </c>
    </row>
    <row r="914" spans="3:14" ht="12.75">
      <c r="C914" s="587"/>
      <c r="D914" s="686"/>
      <c r="E914" s="588" t="s">
        <v>1239</v>
      </c>
      <c r="F914" s="709"/>
      <c r="G914" s="590"/>
      <c r="H914" s="596"/>
      <c r="I914" s="651"/>
      <c r="J914" s="592" t="s">
        <v>149</v>
      </c>
      <c r="K914" s="685">
        <f>+Sheet2!E70</f>
        <v>5.2</v>
      </c>
      <c r="L914" s="648">
        <f>+Bhn!I81</f>
        <v>90000</v>
      </c>
      <c r="M914" s="658">
        <f>L914*K914</f>
        <v>468000</v>
      </c>
      <c r="N914" s="657"/>
    </row>
    <row r="915" spans="3:14" ht="12.75">
      <c r="C915" s="587"/>
      <c r="D915" s="686"/>
      <c r="E915" s="595" t="s">
        <v>1153</v>
      </c>
      <c r="F915" s="709"/>
      <c r="G915" s="590"/>
      <c r="H915" s="596"/>
      <c r="I915" s="651"/>
      <c r="J915" s="592" t="s">
        <v>153</v>
      </c>
      <c r="K915" s="685">
        <f>+Sheet2!C70</f>
        <v>15.9</v>
      </c>
      <c r="L915" s="648">
        <f>$L$697</f>
        <v>45000</v>
      </c>
      <c r="M915" s="658">
        <f>L915*K915</f>
        <v>715500</v>
      </c>
      <c r="N915" s="657"/>
    </row>
    <row r="916" spans="3:14" ht="12.75">
      <c r="C916" s="587"/>
      <c r="D916" s="686"/>
      <c r="E916" s="595" t="s">
        <v>952</v>
      </c>
      <c r="F916" s="709"/>
      <c r="G916" s="590"/>
      <c r="H916" s="596"/>
      <c r="I916" s="651"/>
      <c r="J916" s="592" t="s">
        <v>153</v>
      </c>
      <c r="K916" s="664">
        <f>+K915</f>
        <v>15.9</v>
      </c>
      <c r="L916" s="648">
        <f>$L$865</f>
        <v>3000</v>
      </c>
      <c r="M916" s="658">
        <f>L916*K916</f>
        <v>47700</v>
      </c>
      <c r="N916" s="657"/>
    </row>
    <row r="917" spans="3:14" ht="12.75">
      <c r="C917" s="587"/>
      <c r="D917" s="686"/>
      <c r="E917" s="588"/>
      <c r="F917" s="709"/>
      <c r="G917" s="590"/>
      <c r="H917" s="596"/>
      <c r="I917" s="651"/>
      <c r="J917" s="592"/>
      <c r="K917" s="685"/>
      <c r="L917" s="648"/>
      <c r="M917" s="658"/>
      <c r="N917" s="657"/>
    </row>
    <row r="918" spans="3:14" ht="12.75">
      <c r="C918" s="694">
        <f>+C913+1</f>
        <v>21</v>
      </c>
      <c r="D918" s="688"/>
      <c r="E918" s="691" t="s">
        <v>964</v>
      </c>
      <c r="F918" s="709"/>
      <c r="G918" s="590"/>
      <c r="H918" s="596"/>
      <c r="I918" s="651"/>
      <c r="J918" s="592"/>
      <c r="K918" s="664"/>
      <c r="L918" s="648"/>
      <c r="M918" s="658"/>
      <c r="N918" s="657">
        <f>SUM(M919:M920)</f>
        <v>270400</v>
      </c>
    </row>
    <row r="919" spans="3:14" ht="12.75">
      <c r="C919" s="587"/>
      <c r="D919" s="686"/>
      <c r="E919" s="595" t="s">
        <v>1153</v>
      </c>
      <c r="F919" s="709"/>
      <c r="G919" s="590"/>
      <c r="H919" s="596"/>
      <c r="I919" s="651"/>
      <c r="J919" s="592" t="s">
        <v>153</v>
      </c>
      <c r="K919" s="685">
        <f>(1.84*2)+(0.5*2)</f>
        <v>4.68</v>
      </c>
      <c r="L919" s="648">
        <f>$L$697</f>
        <v>45000</v>
      </c>
      <c r="M919" s="658">
        <f>L919*K919</f>
        <v>210600</v>
      </c>
      <c r="N919" s="657"/>
    </row>
    <row r="920" spans="3:14" ht="12.75">
      <c r="C920" s="587"/>
      <c r="D920" s="686"/>
      <c r="E920" s="588" t="s">
        <v>962</v>
      </c>
      <c r="F920" s="709"/>
      <c r="G920" s="590"/>
      <c r="H920" s="596"/>
      <c r="I920" s="651"/>
      <c r="J920" s="592" t="s">
        <v>149</v>
      </c>
      <c r="K920" s="685">
        <f>1.84*0.5</f>
        <v>0.92</v>
      </c>
      <c r="L920" s="648">
        <f>Bhn!$M$78</f>
        <v>65000</v>
      </c>
      <c r="M920" s="658">
        <f>L920*K920</f>
        <v>59800</v>
      </c>
      <c r="N920" s="657"/>
    </row>
    <row r="921" spans="3:14" ht="12.75">
      <c r="C921" s="587"/>
      <c r="D921" s="686"/>
      <c r="E921" s="595"/>
      <c r="F921" s="709"/>
      <c r="G921" s="590"/>
      <c r="H921" s="596"/>
      <c r="I921" s="651"/>
      <c r="J921" s="592"/>
      <c r="K921" s="685"/>
      <c r="L921" s="648"/>
      <c r="M921" s="658"/>
      <c r="N921" s="657"/>
    </row>
    <row r="922" spans="3:14" ht="12.75">
      <c r="C922" s="694">
        <f>+C918+1</f>
        <v>22</v>
      </c>
      <c r="D922" s="688"/>
      <c r="E922" s="691" t="s">
        <v>965</v>
      </c>
      <c r="F922" s="709"/>
      <c r="G922" s="590"/>
      <c r="H922" s="596"/>
      <c r="I922" s="651"/>
      <c r="J922" s="592"/>
      <c r="K922" s="664"/>
      <c r="L922" s="648"/>
      <c r="M922" s="658"/>
      <c r="N922" s="657">
        <f>SUM(M923:M926)</f>
        <v>209150</v>
      </c>
    </row>
    <row r="923" spans="3:14" ht="12.75">
      <c r="C923" s="587"/>
      <c r="D923" s="686"/>
      <c r="E923" s="595" t="s">
        <v>1153</v>
      </c>
      <c r="F923" s="709"/>
      <c r="G923" s="590"/>
      <c r="H923" s="596"/>
      <c r="I923" s="651"/>
      <c r="J923" s="592" t="s">
        <v>153</v>
      </c>
      <c r="K923" s="685">
        <f>(1.34*2)+(0.5*2)</f>
        <v>3.68</v>
      </c>
      <c r="L923" s="648">
        <f>$L$697</f>
        <v>45000</v>
      </c>
      <c r="M923" s="658">
        <f>L923*K923</f>
        <v>165600</v>
      </c>
      <c r="N923" s="657"/>
    </row>
    <row r="924" spans="3:14" ht="12.75">
      <c r="C924" s="587"/>
      <c r="D924" s="686"/>
      <c r="E924" s="595" t="s">
        <v>961</v>
      </c>
      <c r="F924" s="709"/>
      <c r="G924" s="590"/>
      <c r="H924" s="596"/>
      <c r="I924" s="651"/>
      <c r="J924" s="592" t="s">
        <v>139</v>
      </c>
      <c r="K924" s="685">
        <v>2</v>
      </c>
      <c r="L924" s="648">
        <f>Bhn!$M$70</f>
        <v>300000</v>
      </c>
      <c r="M924" s="658"/>
      <c r="N924" s="657"/>
    </row>
    <row r="925" spans="3:14" ht="12.75">
      <c r="C925" s="587"/>
      <c r="D925" s="686"/>
      <c r="E925" s="588" t="s">
        <v>962</v>
      </c>
      <c r="F925" s="709"/>
      <c r="G925" s="590"/>
      <c r="H925" s="596"/>
      <c r="I925" s="651"/>
      <c r="J925" s="592" t="s">
        <v>149</v>
      </c>
      <c r="K925" s="685">
        <f>1.34*0.5</f>
        <v>0.67</v>
      </c>
      <c r="L925" s="648">
        <f>Bhn!$M$78</f>
        <v>65000</v>
      </c>
      <c r="M925" s="658">
        <f>L925*K925</f>
        <v>43550</v>
      </c>
      <c r="N925" s="657"/>
    </row>
    <row r="926" spans="3:14" ht="12.75">
      <c r="C926" s="587"/>
      <c r="D926" s="686"/>
      <c r="E926" s="595" t="s">
        <v>963</v>
      </c>
      <c r="F926" s="709"/>
      <c r="G926" s="590"/>
      <c r="H926" s="596"/>
      <c r="I926" s="651"/>
      <c r="J926" s="592" t="s">
        <v>139</v>
      </c>
      <c r="K926" s="664"/>
      <c r="L926" s="648">
        <f>Bhn!M100</f>
        <v>20130</v>
      </c>
      <c r="M926" s="658">
        <f>L926*K926</f>
        <v>0</v>
      </c>
      <c r="N926" s="657"/>
    </row>
    <row r="927" spans="3:14" ht="12.75">
      <c r="C927" s="587"/>
      <c r="D927" s="686"/>
      <c r="E927" s="595"/>
      <c r="F927" s="709"/>
      <c r="G927" s="590"/>
      <c r="H927" s="596"/>
      <c r="I927" s="651"/>
      <c r="J927" s="592"/>
      <c r="K927" s="685"/>
      <c r="L927" s="648"/>
      <c r="M927" s="658"/>
      <c r="N927" s="657"/>
    </row>
    <row r="928" spans="3:14" ht="12.75">
      <c r="C928" s="694">
        <f>+C922+1</f>
        <v>23</v>
      </c>
      <c r="D928" s="688"/>
      <c r="E928" s="691" t="s">
        <v>966</v>
      </c>
      <c r="F928" s="709"/>
      <c r="G928" s="590"/>
      <c r="H928" s="596"/>
      <c r="I928" s="651"/>
      <c r="J928" s="592"/>
      <c r="K928" s="664"/>
      <c r="L928" s="648"/>
      <c r="M928" s="658"/>
      <c r="N928" s="657">
        <f>SUM(M929:M930)</f>
        <v>32318.6</v>
      </c>
    </row>
    <row r="929" spans="3:14" ht="12.75">
      <c r="C929" s="587"/>
      <c r="D929" s="686"/>
      <c r="E929" s="595" t="s">
        <v>813</v>
      </c>
      <c r="F929" s="709"/>
      <c r="G929" s="590"/>
      <c r="H929" s="596"/>
      <c r="I929" s="651"/>
      <c r="J929" s="592" t="s">
        <v>149</v>
      </c>
      <c r="K929" s="685">
        <f>1*0.5</f>
        <v>0.5</v>
      </c>
      <c r="L929" s="648">
        <f>N71</f>
        <v>21258</v>
      </c>
      <c r="M929" s="658">
        <f>L929*K929</f>
        <v>10629</v>
      </c>
      <c r="N929" s="657"/>
    </row>
    <row r="930" spans="3:14" ht="12.75">
      <c r="C930" s="587"/>
      <c r="D930" s="686"/>
      <c r="E930" s="595" t="s">
        <v>871</v>
      </c>
      <c r="F930" s="709"/>
      <c r="G930" s="590"/>
      <c r="H930" s="596"/>
      <c r="I930" s="651"/>
      <c r="J930" s="592" t="s">
        <v>153</v>
      </c>
      <c r="K930" s="685">
        <f>2*2</f>
        <v>4</v>
      </c>
      <c r="L930" s="648">
        <f>N103</f>
        <v>5422.4</v>
      </c>
      <c r="M930" s="658">
        <f>L930*K930</f>
        <v>21689.6</v>
      </c>
      <c r="N930" s="657"/>
    </row>
    <row r="931" spans="3:14" ht="12.75">
      <c r="C931" s="587"/>
      <c r="D931" s="686"/>
      <c r="E931" s="595"/>
      <c r="F931" s="709"/>
      <c r="G931" s="590"/>
      <c r="H931" s="596"/>
      <c r="I931" s="651"/>
      <c r="J931" s="592"/>
      <c r="K931" s="685"/>
      <c r="L931" s="648"/>
      <c r="M931" s="658"/>
      <c r="N931" s="657"/>
    </row>
    <row r="932" spans="3:14" ht="12.75">
      <c r="C932" s="587"/>
      <c r="D932" s="686"/>
      <c r="E932" s="595" t="s">
        <v>970</v>
      </c>
      <c r="F932" s="709"/>
      <c r="G932" s="590"/>
      <c r="H932" s="596"/>
      <c r="I932" s="651"/>
      <c r="J932" s="592"/>
      <c r="K932" s="685"/>
      <c r="L932" s="648"/>
      <c r="M932" s="658"/>
      <c r="N932" s="657"/>
    </row>
    <row r="933" spans="3:14" ht="12.75">
      <c r="C933" s="587"/>
      <c r="D933" s="686"/>
      <c r="E933" s="595"/>
      <c r="F933" s="709"/>
      <c r="G933" s="590"/>
      <c r="H933" s="596"/>
      <c r="I933" s="651"/>
      <c r="J933" s="592"/>
      <c r="K933" s="685"/>
      <c r="L933" s="648"/>
      <c r="M933" s="658"/>
      <c r="N933" s="657"/>
    </row>
    <row r="934" spans="3:14" ht="12.75">
      <c r="C934" s="694">
        <f>C926+1</f>
        <v>1</v>
      </c>
      <c r="D934" s="688"/>
      <c r="E934" s="691" t="s">
        <v>971</v>
      </c>
      <c r="F934" s="709"/>
      <c r="G934" s="590"/>
      <c r="H934" s="596"/>
      <c r="I934" s="651"/>
      <c r="J934" s="592"/>
      <c r="K934" s="664"/>
      <c r="L934" s="648"/>
      <c r="M934" s="658"/>
      <c r="N934" s="657">
        <f>SUM(M935:M940)</f>
        <v>924750</v>
      </c>
    </row>
    <row r="935" spans="3:14" ht="12.75">
      <c r="C935" s="587"/>
      <c r="D935" s="686"/>
      <c r="E935" s="595" t="s">
        <v>1153</v>
      </c>
      <c r="F935" s="709"/>
      <c r="G935" s="590"/>
      <c r="H935" s="596"/>
      <c r="I935" s="651"/>
      <c r="J935" s="592" t="s">
        <v>153</v>
      </c>
      <c r="K935" s="685">
        <v>5.05</v>
      </c>
      <c r="L935" s="648">
        <f>$L$697</f>
        <v>45000</v>
      </c>
      <c r="M935" s="658">
        <f aca="true" t="shared" si="53" ref="M935:M940">L935*K935</f>
        <v>227250</v>
      </c>
      <c r="N935" s="657"/>
    </row>
    <row r="936" spans="3:14" ht="12.75">
      <c r="C936" s="587"/>
      <c r="D936" s="686"/>
      <c r="E936" s="595" t="s">
        <v>938</v>
      </c>
      <c r="F936" s="709"/>
      <c r="G936" s="590"/>
      <c r="H936" s="596"/>
      <c r="I936" s="651"/>
      <c r="J936" s="592" t="s">
        <v>139</v>
      </c>
      <c r="K936" s="685">
        <v>1</v>
      </c>
      <c r="L936" s="648">
        <f>$L$708</f>
        <v>310000</v>
      </c>
      <c r="M936" s="658">
        <f t="shared" si="53"/>
        <v>310000</v>
      </c>
      <c r="N936" s="657"/>
    </row>
    <row r="937" spans="3:14" ht="12.75">
      <c r="C937" s="587"/>
      <c r="D937" s="686"/>
      <c r="E937" s="588" t="s">
        <v>939</v>
      </c>
      <c r="F937" s="709"/>
      <c r="G937" s="590"/>
      <c r="H937" s="596"/>
      <c r="I937" s="651"/>
      <c r="J937" s="592" t="s">
        <v>139</v>
      </c>
      <c r="K937" s="685">
        <v>1</v>
      </c>
      <c r="L937" s="648">
        <f>Bhn!$M$92</f>
        <v>160000</v>
      </c>
      <c r="M937" s="658">
        <f t="shared" si="53"/>
        <v>160000</v>
      </c>
      <c r="N937" s="657"/>
    </row>
    <row r="938" spans="3:14" ht="12.75">
      <c r="C938" s="587"/>
      <c r="D938" s="686"/>
      <c r="E938" s="588" t="s">
        <v>249</v>
      </c>
      <c r="F938" s="709"/>
      <c r="G938" s="590"/>
      <c r="H938" s="596"/>
      <c r="I938" s="651"/>
      <c r="J938" s="592" t="s">
        <v>139</v>
      </c>
      <c r="K938" s="685">
        <v>3</v>
      </c>
      <c r="L938" s="648">
        <f>Bhn!$M$94</f>
        <v>17500</v>
      </c>
      <c r="M938" s="658">
        <f t="shared" si="53"/>
        <v>52500</v>
      </c>
      <c r="N938" s="657"/>
    </row>
    <row r="939" spans="3:14" ht="12.75">
      <c r="C939" s="587"/>
      <c r="D939" s="686"/>
      <c r="E939" s="595" t="s">
        <v>84</v>
      </c>
      <c r="F939" s="709"/>
      <c r="G939" s="590"/>
      <c r="H939" s="596"/>
      <c r="I939" s="651"/>
      <c r="J939" s="592" t="s">
        <v>139</v>
      </c>
      <c r="K939" s="685">
        <v>1</v>
      </c>
      <c r="L939" s="648">
        <f>Bhn!$M$85</f>
        <v>15000</v>
      </c>
      <c r="M939" s="658">
        <f t="shared" si="53"/>
        <v>15000</v>
      </c>
      <c r="N939" s="657"/>
    </row>
    <row r="940" spans="3:14" ht="12.75">
      <c r="C940" s="587"/>
      <c r="D940" s="686"/>
      <c r="E940" s="595" t="s">
        <v>940</v>
      </c>
      <c r="F940" s="709"/>
      <c r="G940" s="590"/>
      <c r="H940" s="596"/>
      <c r="I940" s="651"/>
      <c r="J940" s="592" t="s">
        <v>139</v>
      </c>
      <c r="K940" s="685">
        <v>1</v>
      </c>
      <c r="L940" s="648">
        <f>Bhn!$M$96</f>
        <v>160000</v>
      </c>
      <c r="M940" s="658">
        <f t="shared" si="53"/>
        <v>160000</v>
      </c>
      <c r="N940" s="657"/>
    </row>
    <row r="941" spans="3:14" ht="12.75">
      <c r="C941" s="587"/>
      <c r="D941" s="686"/>
      <c r="E941" s="595"/>
      <c r="F941" s="709"/>
      <c r="G941" s="590"/>
      <c r="H941" s="596"/>
      <c r="I941" s="651"/>
      <c r="J941" s="592"/>
      <c r="K941" s="685"/>
      <c r="L941" s="648"/>
      <c r="M941" s="658"/>
      <c r="N941" s="657"/>
    </row>
    <row r="942" spans="3:14" ht="12.75">
      <c r="C942" s="694">
        <f>+C934+1</f>
        <v>2</v>
      </c>
      <c r="D942" s="688"/>
      <c r="E942" s="691" t="s">
        <v>973</v>
      </c>
      <c r="F942" s="709"/>
      <c r="G942" s="590"/>
      <c r="H942" s="596"/>
      <c r="I942" s="651"/>
      <c r="J942" s="592"/>
      <c r="K942" s="664"/>
      <c r="L942" s="648"/>
      <c r="M942" s="658"/>
      <c r="N942" s="657">
        <f>SUM(M943:M948)</f>
        <v>1464750</v>
      </c>
    </row>
    <row r="943" spans="3:14" ht="12.75">
      <c r="C943" s="587"/>
      <c r="D943" s="686"/>
      <c r="E943" s="595" t="s">
        <v>1153</v>
      </c>
      <c r="F943" s="709"/>
      <c r="G943" s="590"/>
      <c r="H943" s="596"/>
      <c r="I943" s="651"/>
      <c r="J943" s="592" t="s">
        <v>153</v>
      </c>
      <c r="K943" s="685">
        <v>5.05</v>
      </c>
      <c r="L943" s="648">
        <f>$L$697</f>
        <v>45000</v>
      </c>
      <c r="M943" s="658">
        <f aca="true" t="shared" si="54" ref="M943:M948">L943*K943</f>
        <v>227250</v>
      </c>
      <c r="N943" s="657"/>
    </row>
    <row r="944" spans="3:14" ht="12.75">
      <c r="C944" s="587"/>
      <c r="D944" s="686"/>
      <c r="E944" s="595" t="s">
        <v>972</v>
      </c>
      <c r="F944" s="709"/>
      <c r="G944" s="590"/>
      <c r="H944" s="596"/>
      <c r="I944" s="651"/>
      <c r="J944" s="592" t="s">
        <v>139</v>
      </c>
      <c r="K944" s="685">
        <v>1</v>
      </c>
      <c r="L944" s="648">
        <v>850000</v>
      </c>
      <c r="M944" s="658">
        <f t="shared" si="54"/>
        <v>850000</v>
      </c>
      <c r="N944" s="657"/>
    </row>
    <row r="945" spans="3:14" ht="12.75">
      <c r="C945" s="587"/>
      <c r="D945" s="686"/>
      <c r="E945" s="588" t="s">
        <v>939</v>
      </c>
      <c r="F945" s="709"/>
      <c r="G945" s="590"/>
      <c r="H945" s="596"/>
      <c r="I945" s="651"/>
      <c r="J945" s="592" t="s">
        <v>139</v>
      </c>
      <c r="K945" s="685">
        <v>1</v>
      </c>
      <c r="L945" s="648">
        <f>Bhn!$M$92</f>
        <v>160000</v>
      </c>
      <c r="M945" s="658">
        <f t="shared" si="54"/>
        <v>160000</v>
      </c>
      <c r="N945" s="657"/>
    </row>
    <row r="946" spans="3:14" ht="12.75">
      <c r="C946" s="587"/>
      <c r="D946" s="686"/>
      <c r="E946" s="588" t="s">
        <v>249</v>
      </c>
      <c r="F946" s="709"/>
      <c r="G946" s="590"/>
      <c r="H946" s="596"/>
      <c r="I946" s="651"/>
      <c r="J946" s="592" t="s">
        <v>139</v>
      </c>
      <c r="K946" s="685">
        <v>3</v>
      </c>
      <c r="L946" s="648">
        <f>Bhn!$M$94</f>
        <v>17500</v>
      </c>
      <c r="M946" s="658">
        <f t="shared" si="54"/>
        <v>52500</v>
      </c>
      <c r="N946" s="657"/>
    </row>
    <row r="947" spans="3:14" ht="12.75">
      <c r="C947" s="587"/>
      <c r="D947" s="686"/>
      <c r="E947" s="595" t="s">
        <v>84</v>
      </c>
      <c r="F947" s="709"/>
      <c r="G947" s="590"/>
      <c r="H947" s="596"/>
      <c r="I947" s="651"/>
      <c r="J947" s="592" t="s">
        <v>139</v>
      </c>
      <c r="K947" s="685">
        <v>1</v>
      </c>
      <c r="L947" s="648">
        <f>Bhn!$M$85</f>
        <v>15000</v>
      </c>
      <c r="M947" s="658">
        <f t="shared" si="54"/>
        <v>15000</v>
      </c>
      <c r="N947" s="657"/>
    </row>
    <row r="948" spans="3:14" ht="12.75">
      <c r="C948" s="587"/>
      <c r="D948" s="686"/>
      <c r="E948" s="595" t="s">
        <v>940</v>
      </c>
      <c r="F948" s="709"/>
      <c r="G948" s="590"/>
      <c r="H948" s="596"/>
      <c r="I948" s="651"/>
      <c r="J948" s="592" t="s">
        <v>139</v>
      </c>
      <c r="K948" s="685">
        <v>1</v>
      </c>
      <c r="L948" s="648">
        <f>Bhn!$M$96</f>
        <v>160000</v>
      </c>
      <c r="M948" s="658">
        <f t="shared" si="54"/>
        <v>160000</v>
      </c>
      <c r="N948" s="657"/>
    </row>
    <row r="949" spans="3:14" ht="12.75">
      <c r="C949" s="587"/>
      <c r="D949" s="686"/>
      <c r="E949" s="595"/>
      <c r="F949" s="595"/>
      <c r="G949" s="590"/>
      <c r="H949" s="596"/>
      <c r="I949" s="651"/>
      <c r="J949" s="592"/>
      <c r="K949" s="685"/>
      <c r="L949" s="648"/>
      <c r="M949" s="658"/>
      <c r="N949" s="659"/>
    </row>
    <row r="950" spans="3:14" ht="12.75">
      <c r="C950" s="694">
        <f>+C942+1</f>
        <v>3</v>
      </c>
      <c r="D950" s="688"/>
      <c r="E950" s="691" t="s">
        <v>974</v>
      </c>
      <c r="F950" s="709"/>
      <c r="G950" s="590"/>
      <c r="H950" s="596"/>
      <c r="I950" s="651"/>
      <c r="J950" s="592"/>
      <c r="K950" s="664"/>
      <c r="L950" s="648"/>
      <c r="M950" s="658"/>
      <c r="N950" s="657">
        <f>SUM(M951:M953)</f>
        <v>997797.3612</v>
      </c>
    </row>
    <row r="951" spans="3:14" ht="12.75">
      <c r="C951" s="587"/>
      <c r="D951" s="686"/>
      <c r="E951" s="595" t="s">
        <v>1153</v>
      </c>
      <c r="F951" s="709"/>
      <c r="G951" s="590"/>
      <c r="H951" s="596"/>
      <c r="I951" s="651"/>
      <c r="J951" s="592" t="s">
        <v>153</v>
      </c>
      <c r="K951" s="685">
        <f>3.5+3.5+1.1</f>
        <v>8.1</v>
      </c>
      <c r="L951" s="648">
        <f>$L$697</f>
        <v>45000</v>
      </c>
      <c r="M951" s="658">
        <f>L951*K951</f>
        <v>364500</v>
      </c>
      <c r="N951" s="657"/>
    </row>
    <row r="952" spans="3:14" ht="12.75">
      <c r="C952" s="587"/>
      <c r="D952" s="686"/>
      <c r="E952" s="588" t="s">
        <v>962</v>
      </c>
      <c r="F952" s="709"/>
      <c r="G952" s="590"/>
      <c r="H952" s="596"/>
      <c r="I952" s="651"/>
      <c r="J952" s="592" t="s">
        <v>149</v>
      </c>
      <c r="K952" s="685">
        <f>0.35*1.95</f>
        <v>0.6825</v>
      </c>
      <c r="L952" s="648">
        <f>Bhn!$M$78</f>
        <v>65000</v>
      </c>
      <c r="M952" s="658">
        <f>L952*K952</f>
        <v>44362.5</v>
      </c>
      <c r="N952" s="657"/>
    </row>
    <row r="953" spans="3:14" ht="12.75">
      <c r="C953" s="587"/>
      <c r="D953" s="686"/>
      <c r="E953" s="588" t="s">
        <v>975</v>
      </c>
      <c r="F953" s="709"/>
      <c r="G953" s="590"/>
      <c r="H953" s="596"/>
      <c r="I953" s="651"/>
      <c r="J953" s="592" t="s">
        <v>134</v>
      </c>
      <c r="K953" s="685">
        <f>3.55*0.6*0.08</f>
        <v>0.1704</v>
      </c>
      <c r="L953" s="648">
        <f>$N$675</f>
        <v>3456190.5</v>
      </c>
      <c r="M953" s="658">
        <f>L953*K953</f>
        <v>588934.8612</v>
      </c>
      <c r="N953" s="657"/>
    </row>
    <row r="954" spans="3:14" ht="12.75">
      <c r="C954" s="587"/>
      <c r="D954" s="686"/>
      <c r="E954" s="595"/>
      <c r="F954" s="595"/>
      <c r="G954" s="590"/>
      <c r="H954" s="596"/>
      <c r="I954" s="651"/>
      <c r="J954" s="592"/>
      <c r="K954" s="685"/>
      <c r="L954" s="648"/>
      <c r="M954" s="658"/>
      <c r="N954" s="659"/>
    </row>
    <row r="955" spans="3:14" ht="12.75">
      <c r="C955" s="694">
        <f>+C950+1</f>
        <v>4</v>
      </c>
      <c r="D955" s="688"/>
      <c r="E955" s="691" t="s">
        <v>976</v>
      </c>
      <c r="F955" s="709"/>
      <c r="G955" s="590"/>
      <c r="H955" s="596"/>
      <c r="I955" s="651"/>
      <c r="J955" s="592"/>
      <c r="K955" s="664"/>
      <c r="L955" s="648"/>
      <c r="M955" s="658"/>
      <c r="N955" s="657">
        <f>SUM(M956:M959)</f>
        <v>762958.8732</v>
      </c>
    </row>
    <row r="956" spans="3:14" ht="12.75">
      <c r="C956" s="587"/>
      <c r="D956" s="686"/>
      <c r="E956" s="595" t="s">
        <v>1153</v>
      </c>
      <c r="F956" s="709"/>
      <c r="G956" s="590"/>
      <c r="H956" s="596"/>
      <c r="I956" s="651"/>
      <c r="J956" s="592" t="s">
        <v>153</v>
      </c>
      <c r="K956" s="685">
        <f>3.5+3.5+1.1</f>
        <v>8.1</v>
      </c>
      <c r="L956" s="648">
        <f>$L$697</f>
        <v>45000</v>
      </c>
      <c r="M956" s="658">
        <f>L956*K956</f>
        <v>364500</v>
      </c>
      <c r="N956" s="657"/>
    </row>
    <row r="957" spans="3:14" ht="12.75">
      <c r="C957" s="587"/>
      <c r="D957" s="686"/>
      <c r="E957" s="588" t="s">
        <v>962</v>
      </c>
      <c r="F957" s="709"/>
      <c r="G957" s="590"/>
      <c r="H957" s="596"/>
      <c r="I957" s="651"/>
      <c r="J957" s="592" t="s">
        <v>149</v>
      </c>
      <c r="K957" s="685">
        <f>0.35*1.95</f>
        <v>0.6825</v>
      </c>
      <c r="L957" s="648">
        <f>Bhn!$M$78</f>
        <v>65000</v>
      </c>
      <c r="M957" s="658">
        <f>L957*K957</f>
        <v>44362.5</v>
      </c>
      <c r="N957" s="657"/>
    </row>
    <row r="958" spans="3:14" ht="12.75">
      <c r="C958" s="587"/>
      <c r="D958" s="686"/>
      <c r="E958" s="588" t="s">
        <v>975</v>
      </c>
      <c r="F958" s="709"/>
      <c r="G958" s="590"/>
      <c r="H958" s="596"/>
      <c r="I958" s="651"/>
      <c r="J958" s="592" t="s">
        <v>134</v>
      </c>
      <c r="K958" s="685">
        <f>1.55*0.6*0.08</f>
        <v>0.0744</v>
      </c>
      <c r="L958" s="648">
        <f>$N$675</f>
        <v>3456190.5</v>
      </c>
      <c r="M958" s="658">
        <f>L958*K958</f>
        <v>257140.57319999998</v>
      </c>
      <c r="N958" s="657"/>
    </row>
    <row r="959" spans="3:14" ht="12.75">
      <c r="C959" s="587"/>
      <c r="D959" s="686"/>
      <c r="E959" s="595" t="s">
        <v>977</v>
      </c>
      <c r="F959" s="595"/>
      <c r="G959" s="590"/>
      <c r="H959" s="596"/>
      <c r="I959" s="651"/>
      <c r="J959" s="592" t="s">
        <v>139</v>
      </c>
      <c r="K959" s="685">
        <v>3</v>
      </c>
      <c r="L959" s="648">
        <f>N928</f>
        <v>32318.6</v>
      </c>
      <c r="M959" s="658">
        <f>L959*K959</f>
        <v>96955.79999999999</v>
      </c>
      <c r="N959" s="659"/>
    </row>
    <row r="960" spans="3:14" ht="12.75">
      <c r="C960" s="587"/>
      <c r="D960" s="686"/>
      <c r="E960" s="595"/>
      <c r="F960" s="709"/>
      <c r="G960" s="590"/>
      <c r="H960" s="596"/>
      <c r="I960" s="651"/>
      <c r="J960" s="592"/>
      <c r="K960" s="685"/>
      <c r="L960" s="648"/>
      <c r="M960" s="658"/>
      <c r="N960" s="657"/>
    </row>
    <row r="961" spans="3:14" ht="12.75">
      <c r="C961" s="694"/>
      <c r="D961" s="688"/>
      <c r="E961" s="691" t="s">
        <v>978</v>
      </c>
      <c r="F961" s="709"/>
      <c r="G961" s="590"/>
      <c r="H961" s="596"/>
      <c r="I961" s="651"/>
      <c r="J961" s="592"/>
      <c r="K961" s="685"/>
      <c r="L961" s="648"/>
      <c r="M961" s="658"/>
      <c r="N961" s="657"/>
    </row>
    <row r="962" spans="3:14" ht="12.75">
      <c r="C962" s="694">
        <f>C954+1</f>
        <v>1</v>
      </c>
      <c r="D962" s="688"/>
      <c r="E962" s="691" t="s">
        <v>544</v>
      </c>
      <c r="F962" s="709"/>
      <c r="G962" s="590"/>
      <c r="H962" s="596"/>
      <c r="I962" s="651"/>
      <c r="J962" s="592"/>
      <c r="K962" s="664"/>
      <c r="L962" s="648"/>
      <c r="M962" s="658"/>
      <c r="N962" s="657">
        <f>SUM(M963:M971)</f>
        <v>2128400</v>
      </c>
    </row>
    <row r="963" spans="3:14" ht="12.75">
      <c r="C963" s="587"/>
      <c r="D963" s="686"/>
      <c r="E963" s="595" t="s">
        <v>1153</v>
      </c>
      <c r="F963" s="709"/>
      <c r="G963" s="590"/>
      <c r="H963" s="596"/>
      <c r="I963" s="651"/>
      <c r="J963" s="592" t="s">
        <v>153</v>
      </c>
      <c r="K963" s="685">
        <f>(2.56*2)+(1.75*2)</f>
        <v>8.620000000000001</v>
      </c>
      <c r="L963" s="648">
        <f>$L$697</f>
        <v>45000</v>
      </c>
      <c r="M963" s="658">
        <f aca="true" t="shared" si="55" ref="M963:M971">L963*K963</f>
        <v>387900.00000000006</v>
      </c>
      <c r="N963" s="657"/>
    </row>
    <row r="964" spans="3:14" ht="12.75">
      <c r="C964" s="587"/>
      <c r="D964" s="686"/>
      <c r="E964" s="595" t="s">
        <v>938</v>
      </c>
      <c r="F964" s="709"/>
      <c r="G964" s="590"/>
      <c r="H964" s="596"/>
      <c r="I964" s="651"/>
      <c r="J964" s="592" t="s">
        <v>139</v>
      </c>
      <c r="K964" s="685">
        <v>2</v>
      </c>
      <c r="L964" s="648">
        <f>$L$708</f>
        <v>310000</v>
      </c>
      <c r="M964" s="658">
        <f t="shared" si="55"/>
        <v>620000</v>
      </c>
      <c r="N964" s="657"/>
    </row>
    <row r="965" spans="3:14" ht="12.75">
      <c r="C965" s="587"/>
      <c r="D965" s="686"/>
      <c r="E965" s="595" t="s">
        <v>961</v>
      </c>
      <c r="F965" s="709"/>
      <c r="G965" s="590"/>
      <c r="H965" s="596"/>
      <c r="I965" s="651"/>
      <c r="J965" s="592" t="s">
        <v>139</v>
      </c>
      <c r="K965" s="685">
        <v>2</v>
      </c>
      <c r="L965" s="648">
        <f>Bhn!$M$70</f>
        <v>300000</v>
      </c>
      <c r="M965" s="658">
        <f t="shared" si="55"/>
        <v>600000</v>
      </c>
      <c r="N965" s="657"/>
    </row>
    <row r="966" spans="3:14" ht="12.75">
      <c r="C966" s="587"/>
      <c r="D966" s="686"/>
      <c r="E966" s="588" t="s">
        <v>962</v>
      </c>
      <c r="F966" s="709"/>
      <c r="G966" s="590"/>
      <c r="H966" s="596"/>
      <c r="I966" s="651"/>
      <c r="J966" s="592" t="s">
        <v>149</v>
      </c>
      <c r="K966" s="685">
        <f>1.75*0.4</f>
        <v>0.7000000000000001</v>
      </c>
      <c r="L966" s="648">
        <f>Bhn!$M$78</f>
        <v>65000</v>
      </c>
      <c r="M966" s="658">
        <f t="shared" si="55"/>
        <v>45500.00000000001</v>
      </c>
      <c r="N966" s="657"/>
    </row>
    <row r="967" spans="3:14" ht="12.75">
      <c r="C967" s="587"/>
      <c r="D967" s="686"/>
      <c r="E967" s="588" t="s">
        <v>939</v>
      </c>
      <c r="F967" s="709"/>
      <c r="G967" s="590"/>
      <c r="H967" s="596"/>
      <c r="I967" s="651"/>
      <c r="J967" s="592" t="s">
        <v>139</v>
      </c>
      <c r="K967" s="685">
        <v>1</v>
      </c>
      <c r="L967" s="648">
        <f>Bhn!$M$92</f>
        <v>160000</v>
      </c>
      <c r="M967" s="658">
        <f t="shared" si="55"/>
        <v>160000</v>
      </c>
      <c r="N967" s="657"/>
    </row>
    <row r="968" spans="3:14" ht="12.75">
      <c r="C968" s="587"/>
      <c r="D968" s="686"/>
      <c r="E968" s="588" t="s">
        <v>249</v>
      </c>
      <c r="F968" s="709"/>
      <c r="G968" s="590"/>
      <c r="H968" s="596"/>
      <c r="I968" s="651"/>
      <c r="J968" s="592" t="s">
        <v>139</v>
      </c>
      <c r="K968" s="685">
        <v>6</v>
      </c>
      <c r="L968" s="648">
        <f>Bhn!$M$94</f>
        <v>17500</v>
      </c>
      <c r="M968" s="658">
        <f t="shared" si="55"/>
        <v>105000</v>
      </c>
      <c r="N968" s="657"/>
    </row>
    <row r="969" spans="3:14" ht="12.75">
      <c r="C969" s="587"/>
      <c r="D969" s="686"/>
      <c r="E969" s="595" t="s">
        <v>84</v>
      </c>
      <c r="F969" s="709"/>
      <c r="G969" s="590"/>
      <c r="H969" s="596"/>
      <c r="I969" s="651"/>
      <c r="J969" s="592" t="s">
        <v>139</v>
      </c>
      <c r="K969" s="685">
        <v>1</v>
      </c>
      <c r="L969" s="648">
        <f>Bhn!$M$85</f>
        <v>15000</v>
      </c>
      <c r="M969" s="658">
        <f t="shared" si="55"/>
        <v>15000</v>
      </c>
      <c r="N969" s="657"/>
    </row>
    <row r="970" spans="3:14" ht="12.75">
      <c r="C970" s="587"/>
      <c r="D970" s="686"/>
      <c r="E970" s="595" t="s">
        <v>940</v>
      </c>
      <c r="F970" s="709"/>
      <c r="G970" s="590"/>
      <c r="H970" s="596"/>
      <c r="I970" s="651"/>
      <c r="J970" s="592" t="s">
        <v>139</v>
      </c>
      <c r="K970" s="685">
        <v>1</v>
      </c>
      <c r="L970" s="648">
        <f>Bhn!$M$96</f>
        <v>160000</v>
      </c>
      <c r="M970" s="658">
        <f t="shared" si="55"/>
        <v>160000</v>
      </c>
      <c r="N970" s="657"/>
    </row>
    <row r="971" spans="3:14" ht="12.75">
      <c r="C971" s="587"/>
      <c r="D971" s="686"/>
      <c r="E971" s="588" t="s">
        <v>947</v>
      </c>
      <c r="F971" s="595"/>
      <c r="G971" s="590"/>
      <c r="H971" s="596"/>
      <c r="I971" s="651"/>
      <c r="J971" s="592" t="s">
        <v>139</v>
      </c>
      <c r="K971" s="664">
        <v>1</v>
      </c>
      <c r="L971" s="648">
        <f>$L$824</f>
        <v>35000</v>
      </c>
      <c r="M971" s="658">
        <f t="shared" si="55"/>
        <v>35000</v>
      </c>
      <c r="N971" s="659"/>
    </row>
    <row r="972" spans="3:14" ht="12.75">
      <c r="C972" s="587"/>
      <c r="D972" s="686"/>
      <c r="E972" s="595"/>
      <c r="F972" s="595"/>
      <c r="G972" s="590"/>
      <c r="H972" s="596"/>
      <c r="I972" s="651"/>
      <c r="J972" s="592"/>
      <c r="K972" s="664"/>
      <c r="L972" s="648"/>
      <c r="M972" s="658"/>
      <c r="N972" s="659"/>
    </row>
    <row r="973" spans="3:14" ht="12.75">
      <c r="C973" s="694">
        <f>+C962+1</f>
        <v>2</v>
      </c>
      <c r="D973" s="688"/>
      <c r="E973" s="691" t="s">
        <v>965</v>
      </c>
      <c r="F973" s="709"/>
      <c r="G973" s="590"/>
      <c r="H973" s="596"/>
      <c r="I973" s="651"/>
      <c r="J973" s="592"/>
      <c r="K973" s="664"/>
      <c r="L973" s="648"/>
      <c r="M973" s="658"/>
      <c r="N973" s="657">
        <f>SUM(M974:M977)</f>
        <v>472160</v>
      </c>
    </row>
    <row r="974" spans="3:14" ht="12.75">
      <c r="C974" s="587"/>
      <c r="D974" s="686"/>
      <c r="E974" s="595" t="s">
        <v>1153</v>
      </c>
      <c r="F974" s="709"/>
      <c r="G974" s="590"/>
      <c r="H974" s="596"/>
      <c r="I974" s="651"/>
      <c r="J974" s="592" t="s">
        <v>153</v>
      </c>
      <c r="K974" s="685">
        <v>2</v>
      </c>
      <c r="L974" s="648">
        <f>$L$697</f>
        <v>45000</v>
      </c>
      <c r="M974" s="658">
        <f>L974*K974</f>
        <v>90000</v>
      </c>
      <c r="N974" s="657"/>
    </row>
    <row r="975" spans="3:14" ht="12.75">
      <c r="C975" s="587"/>
      <c r="D975" s="686"/>
      <c r="E975" s="595" t="s">
        <v>961</v>
      </c>
      <c r="F975" s="709"/>
      <c r="G975" s="590"/>
      <c r="H975" s="596"/>
      <c r="I975" s="651"/>
      <c r="J975" s="592" t="s">
        <v>139</v>
      </c>
      <c r="K975" s="685">
        <v>1</v>
      </c>
      <c r="L975" s="648">
        <f>Bhn!$M$70</f>
        <v>300000</v>
      </c>
      <c r="M975" s="658">
        <f>L975*K975</f>
        <v>300000</v>
      </c>
      <c r="N975" s="657"/>
    </row>
    <row r="976" spans="3:14" ht="12.75">
      <c r="C976" s="587"/>
      <c r="D976" s="686"/>
      <c r="E976" s="588" t="s">
        <v>962</v>
      </c>
      <c r="F976" s="709"/>
      <c r="G976" s="590"/>
      <c r="H976" s="596"/>
      <c r="I976" s="651"/>
      <c r="J976" s="592" t="s">
        <v>149</v>
      </c>
      <c r="K976" s="685">
        <f>0.4*0.4</f>
        <v>0.16000000000000003</v>
      </c>
      <c r="L976" s="648">
        <f>Bhn!$M$78</f>
        <v>65000</v>
      </c>
      <c r="M976" s="658">
        <f>L976*K976</f>
        <v>10400.000000000002</v>
      </c>
      <c r="N976" s="657"/>
    </row>
    <row r="977" spans="3:14" ht="12.75">
      <c r="C977" s="587"/>
      <c r="D977" s="686"/>
      <c r="E977" s="595" t="s">
        <v>963</v>
      </c>
      <c r="F977" s="709"/>
      <c r="G977" s="590"/>
      <c r="H977" s="596"/>
      <c r="I977" s="651"/>
      <c r="J977" s="592" t="s">
        <v>139</v>
      </c>
      <c r="K977" s="664">
        <v>1</v>
      </c>
      <c r="L977" s="648">
        <f>Bhn!M159</f>
        <v>71760</v>
      </c>
      <c r="M977" s="658">
        <f>L977*K977</f>
        <v>71760</v>
      </c>
      <c r="N977" s="657"/>
    </row>
    <row r="978" spans="3:14" ht="12.75">
      <c r="C978" s="587"/>
      <c r="D978" s="686"/>
      <c r="E978" s="595"/>
      <c r="F978" s="595"/>
      <c r="G978" s="590"/>
      <c r="H978" s="596"/>
      <c r="I978" s="651"/>
      <c r="J978" s="592"/>
      <c r="K978" s="664"/>
      <c r="L978" s="648"/>
      <c r="M978" s="658"/>
      <c r="N978" s="659"/>
    </row>
  </sheetData>
  <sheetProtection/>
  <mergeCells count="6">
    <mergeCell ref="D2:N2"/>
    <mergeCell ref="C9:C10"/>
    <mergeCell ref="D9:H10"/>
    <mergeCell ref="I9:I10"/>
    <mergeCell ref="J9:J10"/>
    <mergeCell ref="K9:K10"/>
  </mergeCells>
  <printOptions horizontalCentered="1"/>
  <pageMargins left="0.3937007874015748" right="0.1968503937007874" top="0.5905511811023623" bottom="0.1968503937007874" header="0.5118110236220472" footer="0"/>
  <pageSetup horizontalDpi="300" verticalDpi="300" orientation="portrait" paperSize="9" scale="73" r:id="rId1"/>
  <headerFooter alignWithMargins="0">
    <oddFooter>&amp;C&amp;"Helv,Italic"&amp;8Analisa&amp;R&amp;"Helv,Italic"&amp;8&amp;P  /  &amp;N</oddFooter>
  </headerFooter>
  <rowBreaks count="12" manualBreakCount="12">
    <brk id="70" min="2" max="13" man="1"/>
    <brk id="138" min="2" max="13" man="1"/>
    <brk id="213" min="2" max="13" man="1"/>
    <brk id="276" min="2" max="13" man="1"/>
    <brk id="356" min="2" max="13" man="1"/>
    <brk id="422" min="2" max="13" man="1"/>
    <brk id="489" min="2" max="13" man="1"/>
    <brk id="561" min="2" max="13" man="1"/>
    <brk id="640" min="2" max="13" man="1"/>
    <brk id="803" min="2" max="13" man="1"/>
    <brk id="880" min="2" max="13" man="1"/>
    <brk id="960" min="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21"/>
  </sheetPr>
  <dimension ref="A1:BJ171"/>
  <sheetViews>
    <sheetView tabSelected="1" zoomScale="75" zoomScaleNormal="75" zoomScaleSheetLayoutView="75" zoomScalePageLayoutView="0" workbookViewId="0" topLeftCell="A1">
      <selection activeCell="C7" sqref="C7:N7"/>
    </sheetView>
  </sheetViews>
  <sheetFormatPr defaultColWidth="9.77734375" defaultRowHeight="15.75"/>
  <cols>
    <col min="1" max="1" width="5.77734375" style="5" customWidth="1"/>
    <col min="2" max="2" width="2.5546875" style="5" customWidth="1"/>
    <col min="3" max="3" width="9.21484375" style="5" customWidth="1"/>
    <col min="4" max="4" width="0.88671875" style="5" customWidth="1"/>
    <col min="5" max="5" width="3.3359375" style="5" customWidth="1"/>
    <col min="6" max="6" width="21.77734375" style="5" customWidth="1"/>
    <col min="7" max="7" width="6.99609375" style="5" customWidth="1"/>
    <col min="8" max="8" width="23.77734375" style="5" customWidth="1"/>
    <col min="9" max="9" width="17.4453125" style="5" customWidth="1"/>
    <col min="10" max="10" width="14.5546875" style="5" customWidth="1"/>
    <col min="11" max="11" width="11.6640625" style="5" customWidth="1"/>
    <col min="12" max="12" width="15.77734375" style="5" customWidth="1"/>
    <col min="13" max="13" width="15.4453125" style="5" customWidth="1"/>
    <col min="14" max="14" width="8.6640625" style="5" customWidth="1"/>
    <col min="15" max="15" width="14.77734375" style="5" customWidth="1"/>
    <col min="16" max="16" width="13.6640625" style="5" customWidth="1"/>
    <col min="17" max="17" width="16.99609375" style="5" customWidth="1"/>
    <col min="18" max="18" width="8.10546875" style="5" customWidth="1"/>
    <col min="19" max="19" width="10.10546875" style="6" customWidth="1"/>
    <col min="20" max="20" width="9.4453125" style="5" customWidth="1"/>
    <col min="21" max="21" width="10.77734375" style="5" customWidth="1"/>
    <col min="22" max="22" width="8.77734375" style="5" customWidth="1"/>
    <col min="23" max="23" width="9.4453125" style="5" customWidth="1"/>
    <col min="24" max="24" width="7.3359375" style="5" customWidth="1"/>
    <col min="25" max="25" width="9.5546875" style="5" customWidth="1"/>
    <col min="26" max="26" width="5.77734375" style="5" customWidth="1"/>
    <col min="27" max="27" width="5.21484375" style="5" customWidth="1"/>
    <col min="28" max="28" width="11.21484375" style="5" customWidth="1"/>
    <col min="29" max="29" width="17.77734375" style="5" customWidth="1"/>
    <col min="30" max="30" width="1.77734375" style="5" customWidth="1"/>
    <col min="31" max="31" width="2.77734375" style="5" customWidth="1"/>
    <col min="32" max="32" width="18.77734375" style="5" customWidth="1"/>
    <col min="33" max="33" width="1.77734375" style="5" customWidth="1"/>
    <col min="34" max="34" width="9.77734375" style="5" customWidth="1"/>
    <col min="35" max="35" width="1.77734375" style="5" customWidth="1"/>
    <col min="36" max="36" width="3.77734375" style="5" customWidth="1"/>
    <col min="37" max="37" width="10.77734375" style="5" customWidth="1"/>
    <col min="38" max="38" width="4.77734375" style="5" customWidth="1"/>
    <col min="39" max="39" width="9.77734375" style="5" customWidth="1"/>
    <col min="40" max="40" width="1.77734375" style="5" customWidth="1"/>
    <col min="41" max="41" width="9.77734375" style="5" customWidth="1"/>
    <col min="42" max="42" width="1.77734375" style="5" customWidth="1"/>
    <col min="43" max="43" width="10.77734375" style="5" customWidth="1"/>
    <col min="44" max="44" width="1.77734375" style="5" customWidth="1"/>
    <col min="45" max="45" width="14.77734375" style="5" customWidth="1"/>
    <col min="46" max="46" width="1.77734375" style="5" customWidth="1"/>
    <col min="47" max="48" width="19.77734375" style="5" customWidth="1"/>
    <col min="49" max="49" width="1.77734375" style="5" customWidth="1"/>
    <col min="50" max="51" width="2.77734375" style="5" customWidth="1"/>
    <col min="52" max="52" width="14.77734375" style="5" customWidth="1"/>
    <col min="53" max="53" width="2.77734375" style="5" customWidth="1"/>
    <col min="54" max="54" width="3.77734375" style="5" customWidth="1"/>
    <col min="55" max="55" width="15.77734375" style="5" customWidth="1"/>
    <col min="56" max="56" width="2.77734375" style="5" customWidth="1"/>
    <col min="57" max="57" width="3.77734375" style="5" customWidth="1"/>
    <col min="58" max="58" width="15.77734375" style="5" customWidth="1"/>
    <col min="59" max="59" width="1.77734375" style="5" customWidth="1"/>
    <col min="60" max="60" width="15.77734375" style="5" customWidth="1"/>
    <col min="61" max="61" width="3.77734375" style="5" customWidth="1"/>
    <col min="62" max="62" width="15.77734375" style="5" customWidth="1"/>
    <col min="63" max="63" width="1.77734375" style="5" customWidth="1"/>
    <col min="64" max="64" width="9.77734375" style="5" customWidth="1"/>
    <col min="65" max="65" width="1.77734375" style="5" customWidth="1"/>
    <col min="66" max="66" width="7.77734375" style="5" customWidth="1"/>
    <col min="67" max="67" width="1.77734375" style="5" customWidth="1"/>
    <col min="68" max="68" width="12.77734375" style="5" customWidth="1"/>
    <col min="69" max="69" width="1.77734375" style="5" customWidth="1"/>
    <col min="70" max="70" width="12.77734375" style="5" customWidth="1"/>
    <col min="71" max="71" width="1.77734375" style="5" customWidth="1"/>
    <col min="72" max="72" width="12.77734375" style="5" customWidth="1"/>
    <col min="73" max="73" width="1.77734375" style="5" customWidth="1"/>
    <col min="74" max="74" width="17.77734375" style="5" customWidth="1"/>
    <col min="75" max="75" width="1.77734375" style="5" customWidth="1"/>
    <col min="76" max="16384" width="9.77734375" style="5" customWidth="1"/>
  </cols>
  <sheetData>
    <row r="1" spans="6:17" ht="15">
      <c r="F1" s="725"/>
      <c r="J1" s="726" t="s">
        <v>40</v>
      </c>
      <c r="K1" s="5" t="s">
        <v>224</v>
      </c>
      <c r="L1" s="727">
        <f>L2*L3</f>
        <v>1</v>
      </c>
      <c r="M1" s="531" t="s">
        <v>223</v>
      </c>
      <c r="N1" s="728">
        <v>1</v>
      </c>
      <c r="O1" s="729">
        <v>1.1</v>
      </c>
      <c r="P1" s="730"/>
      <c r="Q1" s="731"/>
    </row>
    <row r="2" spans="2:16" ht="15">
      <c r="B2" s="531" t="s">
        <v>41</v>
      </c>
      <c r="C2" s="531" t="s">
        <v>41</v>
      </c>
      <c r="F2" s="726"/>
      <c r="K2" s="732" t="s">
        <v>204</v>
      </c>
      <c r="L2" s="733">
        <f>100%+K20</f>
        <v>1</v>
      </c>
      <c r="M2" s="531"/>
      <c r="N2" s="734"/>
      <c r="O2" s="735">
        <f>1/O1</f>
        <v>0.9090909090909091</v>
      </c>
      <c r="P2" s="730"/>
    </row>
    <row r="3" spans="11:16" ht="12.75">
      <c r="K3" s="736" t="s">
        <v>205</v>
      </c>
      <c r="L3" s="737">
        <f>100%+J20</f>
        <v>1</v>
      </c>
      <c r="M3" s="531"/>
      <c r="N3" s="734"/>
      <c r="O3" s="730">
        <f>O2</f>
        <v>0.9090909090909091</v>
      </c>
      <c r="P3" s="730"/>
    </row>
    <row r="4" spans="8:16" ht="15">
      <c r="H4" s="738" t="s">
        <v>236</v>
      </c>
      <c r="I4" s="739">
        <v>1</v>
      </c>
      <c r="L4" s="532"/>
      <c r="M4" s="740"/>
      <c r="N4" s="740"/>
      <c r="O4" s="730"/>
      <c r="P4" s="730"/>
    </row>
    <row r="5" spans="3:28" ht="12.75">
      <c r="C5" s="531"/>
      <c r="G5" s="531" t="s">
        <v>41</v>
      </c>
      <c r="H5" s="531"/>
      <c r="N5" s="531" t="s">
        <v>41</v>
      </c>
      <c r="O5" s="531"/>
      <c r="P5" s="531"/>
      <c r="Z5" s="731"/>
      <c r="AA5" s="731"/>
      <c r="AB5" s="731"/>
    </row>
    <row r="6" spans="1:29" ht="15">
      <c r="A6" s="531" t="s">
        <v>41</v>
      </c>
      <c r="C6" s="4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6"/>
      <c r="P6" s="6"/>
      <c r="Q6" s="6"/>
      <c r="R6" s="6"/>
      <c r="T6" s="6"/>
      <c r="U6" s="6"/>
      <c r="V6" s="6"/>
      <c r="W6" s="6"/>
      <c r="Z6" s="731"/>
      <c r="AA6" s="731"/>
      <c r="AB6" s="731"/>
      <c r="AC6" s="731"/>
    </row>
    <row r="7" spans="3:28" ht="15">
      <c r="C7" s="1139"/>
      <c r="D7" s="1139"/>
      <c r="E7" s="1139"/>
      <c r="F7" s="1139"/>
      <c r="G7" s="1139"/>
      <c r="H7" s="1139"/>
      <c r="I7" s="1139"/>
      <c r="J7" s="1139"/>
      <c r="K7" s="1139"/>
      <c r="L7" s="1139"/>
      <c r="M7" s="1139"/>
      <c r="N7" s="1139"/>
      <c r="O7" s="11"/>
      <c r="P7" s="9"/>
      <c r="Q7" s="9"/>
      <c r="R7" s="9"/>
      <c r="S7" s="9"/>
      <c r="T7" s="9"/>
      <c r="U7" s="9"/>
      <c r="V7" s="9"/>
      <c r="W7" s="9"/>
      <c r="Z7" s="731"/>
      <c r="AA7" s="731"/>
      <c r="AB7" s="731"/>
    </row>
    <row r="8" spans="3:28" ht="15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1"/>
      <c r="P8" s="9"/>
      <c r="Q8" s="9"/>
      <c r="R8" s="9"/>
      <c r="S8" s="9"/>
      <c r="T8" s="9"/>
      <c r="U8" s="9"/>
      <c r="V8" s="9"/>
      <c r="W8" s="9"/>
      <c r="Z8" s="731"/>
      <c r="AA8" s="731"/>
      <c r="AB8" s="731"/>
    </row>
    <row r="9" spans="3:28" ht="15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1"/>
      <c r="P9" s="9"/>
      <c r="Q9" s="9"/>
      <c r="R9" s="9"/>
      <c r="S9" s="9"/>
      <c r="T9" s="9"/>
      <c r="U9" s="9"/>
      <c r="V9" s="9"/>
      <c r="W9" s="9"/>
      <c r="Z9" s="731"/>
      <c r="AA9" s="731"/>
      <c r="AB9" s="731"/>
    </row>
    <row r="10" spans="3:28" ht="15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1"/>
      <c r="P10" s="9"/>
      <c r="Q10" s="9"/>
      <c r="R10" s="9"/>
      <c r="S10" s="9"/>
      <c r="T10" s="9"/>
      <c r="U10" s="9"/>
      <c r="V10" s="9"/>
      <c r="W10" s="9"/>
      <c r="Z10" s="731"/>
      <c r="AA10" s="731"/>
      <c r="AB10" s="731"/>
    </row>
    <row r="11" spans="3:28" ht="15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1"/>
      <c r="P11" s="9"/>
      <c r="Q11" s="9"/>
      <c r="R11" s="9"/>
      <c r="S11" s="9"/>
      <c r="T11" s="9"/>
      <c r="U11" s="9"/>
      <c r="V11" s="9"/>
      <c r="W11" s="9"/>
      <c r="Z11" s="731"/>
      <c r="AA11" s="731"/>
      <c r="AB11" s="731"/>
    </row>
    <row r="12" spans="3:28" ht="29.25" customHeight="1">
      <c r="C12" s="1152" t="s">
        <v>1070</v>
      </c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"/>
      <c r="P12" s="9"/>
      <c r="Q12" s="9"/>
      <c r="R12" s="9"/>
      <c r="S12" s="9"/>
      <c r="T12" s="9"/>
      <c r="U12" s="9"/>
      <c r="V12" s="9"/>
      <c r="W12" s="9"/>
      <c r="Z12" s="731"/>
      <c r="AA12" s="731"/>
      <c r="AB12" s="731"/>
    </row>
    <row r="13" spans="3:28" ht="15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"/>
      <c r="P13" s="9"/>
      <c r="Q13" s="9"/>
      <c r="R13" s="9"/>
      <c r="S13" s="9"/>
      <c r="T13" s="9"/>
      <c r="U13" s="9"/>
      <c r="V13" s="9"/>
      <c r="W13" s="9"/>
      <c r="Z13" s="731"/>
      <c r="AA13" s="731"/>
      <c r="AB13" s="731"/>
    </row>
    <row r="14" spans="3:28" ht="15">
      <c r="C14" s="558">
        <f>RAB!$C$12</f>
        <v>0</v>
      </c>
      <c r="D14" s="558"/>
      <c r="E14" s="558"/>
      <c r="F14" s="50"/>
      <c r="G14" s="50"/>
      <c r="H14" s="50"/>
      <c r="I14" s="50"/>
      <c r="J14" s="50"/>
      <c r="K14" s="50"/>
      <c r="L14" s="50"/>
      <c r="M14" s="50"/>
      <c r="N14" s="50"/>
      <c r="O14" s="11"/>
      <c r="P14" s="9"/>
      <c r="Q14" s="9"/>
      <c r="R14" s="9"/>
      <c r="S14" s="9"/>
      <c r="T14" s="9"/>
      <c r="U14" s="9"/>
      <c r="V14" s="9"/>
      <c r="W14" s="9"/>
      <c r="Z14" s="731"/>
      <c r="AA14" s="731"/>
      <c r="AB14" s="731"/>
    </row>
    <row r="15" spans="3:28" ht="15">
      <c r="C15" s="558" t="str">
        <f>RAB!$C$13</f>
        <v>PEKERJAAN</v>
      </c>
      <c r="D15" s="558"/>
      <c r="E15" s="558" t="str">
        <f>RAB!$F$13</f>
        <v>: </v>
      </c>
      <c r="F15" s="50"/>
      <c r="G15" s="50"/>
      <c r="H15" s="50"/>
      <c r="I15" s="50"/>
      <c r="J15" s="50"/>
      <c r="K15" s="50"/>
      <c r="L15" s="50"/>
      <c r="M15" s="50"/>
      <c r="N15" s="50"/>
      <c r="O15" s="11"/>
      <c r="P15" s="9"/>
      <c r="Q15" s="9"/>
      <c r="R15" s="9"/>
      <c r="S15" s="9"/>
      <c r="T15" s="9"/>
      <c r="U15" s="9"/>
      <c r="V15" s="9"/>
      <c r="W15" s="9"/>
      <c r="Z15" s="731"/>
      <c r="AA15" s="731"/>
      <c r="AB15" s="731"/>
    </row>
    <row r="16" spans="3:28" ht="15">
      <c r="C16" s="558" t="str">
        <f>RAB!$C$14</f>
        <v>LOKASI</v>
      </c>
      <c r="D16" s="558"/>
      <c r="E16" s="558" t="str">
        <f>RAB!$F$14</f>
        <v>: </v>
      </c>
      <c r="F16" s="50"/>
      <c r="G16" s="50"/>
      <c r="H16" s="50"/>
      <c r="I16" s="50"/>
      <c r="J16" s="50"/>
      <c r="K16" s="50"/>
      <c r="L16" s="50"/>
      <c r="M16" s="50"/>
      <c r="N16" s="50"/>
      <c r="O16" s="11"/>
      <c r="P16" s="9"/>
      <c r="Q16" s="9"/>
      <c r="R16" s="9"/>
      <c r="S16" s="9"/>
      <c r="T16" s="9"/>
      <c r="U16" s="9"/>
      <c r="V16" s="9"/>
      <c r="W16" s="9"/>
      <c r="Z16" s="731"/>
      <c r="AA16" s="731"/>
      <c r="AB16" s="731"/>
    </row>
    <row r="17" spans="3:28" ht="15">
      <c r="C17" s="558" t="str">
        <f>RAB!$C$15</f>
        <v>TAHUN</v>
      </c>
      <c r="D17" s="558"/>
      <c r="E17" s="558">
        <f>RAB!$F$15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11"/>
      <c r="P17" s="9"/>
      <c r="Q17" s="9"/>
      <c r="R17" s="9"/>
      <c r="S17" s="9"/>
      <c r="T17" s="9"/>
      <c r="U17" s="9"/>
      <c r="V17" s="9"/>
      <c r="W17" s="9"/>
      <c r="Z17" s="731"/>
      <c r="AA17" s="731"/>
      <c r="AB17" s="731"/>
    </row>
    <row r="18" spans="3:23" ht="1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6"/>
      <c r="P18" s="6"/>
      <c r="Q18" s="6"/>
      <c r="R18" s="6"/>
      <c r="T18" s="9"/>
      <c r="U18" s="9"/>
      <c r="V18" s="6"/>
      <c r="W18" s="9"/>
    </row>
    <row r="19" spans="3:23" ht="18.75" customHeight="1">
      <c r="C19" s="1140" t="s">
        <v>860</v>
      </c>
      <c r="D19" s="1142" t="s">
        <v>931</v>
      </c>
      <c r="E19" s="1143"/>
      <c r="F19" s="1143"/>
      <c r="G19" s="1143"/>
      <c r="H19" s="1144"/>
      <c r="I19" s="630" t="s">
        <v>231</v>
      </c>
      <c r="J19" s="630" t="s">
        <v>229</v>
      </c>
      <c r="K19" s="630" t="s">
        <v>228</v>
      </c>
      <c r="L19" s="630" t="s">
        <v>225</v>
      </c>
      <c r="M19" s="1148" t="s">
        <v>932</v>
      </c>
      <c r="N19" s="1149"/>
      <c r="O19" s="6"/>
      <c r="P19" s="6"/>
      <c r="Q19" s="6"/>
      <c r="R19" s="6"/>
      <c r="T19" s="9"/>
      <c r="U19" s="9"/>
      <c r="V19" s="6"/>
      <c r="W19" s="9"/>
    </row>
    <row r="20" spans="3:23" ht="18.75" customHeight="1">
      <c r="C20" s="1141"/>
      <c r="D20" s="1145"/>
      <c r="E20" s="1146"/>
      <c r="F20" s="1146"/>
      <c r="G20" s="1146"/>
      <c r="H20" s="1147"/>
      <c r="I20" s="631" t="s">
        <v>230</v>
      </c>
      <c r="J20" s="632"/>
      <c r="K20" s="746">
        <v>0</v>
      </c>
      <c r="L20" s="631" t="s">
        <v>158</v>
      </c>
      <c r="M20" s="1150"/>
      <c r="N20" s="1151"/>
      <c r="O20" s="8"/>
      <c r="P20" s="8"/>
      <c r="Q20" s="6"/>
      <c r="R20" s="6"/>
      <c r="T20" s="6"/>
      <c r="U20" s="6"/>
      <c r="V20" s="6"/>
      <c r="W20" s="6"/>
    </row>
    <row r="21" spans="3:23" ht="18.75" customHeight="1">
      <c r="C21" s="25"/>
      <c r="D21" s="621"/>
      <c r="E21" s="622"/>
      <c r="F21" s="622"/>
      <c r="G21" s="622"/>
      <c r="H21" s="623"/>
      <c r="I21" s="630"/>
      <c r="J21" s="639"/>
      <c r="K21" s="639"/>
      <c r="L21" s="630"/>
      <c r="M21" s="624"/>
      <c r="N21" s="625"/>
      <c r="O21" s="8">
        <f>REKAP!N52</f>
        <v>263374000</v>
      </c>
      <c r="P21" s="8"/>
      <c r="Q21" s="6"/>
      <c r="R21" s="6"/>
      <c r="T21" s="6"/>
      <c r="U21" s="6"/>
      <c r="V21" s="6"/>
      <c r="W21" s="6"/>
    </row>
    <row r="22" spans="3:62" ht="18.75" customHeight="1">
      <c r="C22" s="741"/>
      <c r="D22" s="640"/>
      <c r="E22" s="641" t="s">
        <v>162</v>
      </c>
      <c r="F22" s="626"/>
      <c r="G22" s="626"/>
      <c r="H22" s="642"/>
      <c r="I22" s="627"/>
      <c r="J22" s="627"/>
      <c r="K22" s="627"/>
      <c r="L22" s="628"/>
      <c r="M22" s="643"/>
      <c r="N22" s="629"/>
      <c r="O22" s="8"/>
      <c r="P22" s="15"/>
      <c r="Q22" s="6"/>
      <c r="R22" s="742"/>
      <c r="S22" s="742"/>
      <c r="T22" s="742"/>
      <c r="U22" s="742"/>
      <c r="V22" s="742"/>
      <c r="W22" s="742"/>
      <c r="AB22" s="731"/>
      <c r="BJ22" s="731"/>
    </row>
    <row r="23" spans="3:23" ht="18.75" customHeight="1">
      <c r="C23" s="644">
        <v>1</v>
      </c>
      <c r="D23" s="36"/>
      <c r="E23" s="17" t="s">
        <v>43</v>
      </c>
      <c r="F23" s="28"/>
      <c r="G23" s="28"/>
      <c r="H23" s="43"/>
      <c r="I23" s="29">
        <v>30000</v>
      </c>
      <c r="J23" s="34"/>
      <c r="K23" s="39">
        <f aca="true" t="shared" si="0" ref="K23:K32">I23*K$20</f>
        <v>0</v>
      </c>
      <c r="L23" s="18">
        <f aca="true" t="shared" si="1" ref="L23:L32">I23+J23+K23</f>
        <v>30000</v>
      </c>
      <c r="M23" s="637">
        <f aca="true" t="shared" si="2" ref="M23:M32">ROUND(L23/10-0.5,0)*10</f>
        <v>30000</v>
      </c>
      <c r="N23" s="30" t="s">
        <v>45</v>
      </c>
      <c r="O23" s="3"/>
      <c r="P23" s="3"/>
      <c r="Q23" s="6"/>
      <c r="R23" s="742"/>
      <c r="S23" s="742"/>
      <c r="T23" s="742"/>
      <c r="U23" s="742"/>
      <c r="V23" s="742"/>
      <c r="W23" s="742"/>
    </row>
    <row r="24" spans="3:28" ht="18.75" customHeight="1">
      <c r="C24" s="644">
        <f aca="true" t="shared" si="3" ref="C24:C32">C23+1</f>
        <v>2</v>
      </c>
      <c r="D24" s="36"/>
      <c r="E24" s="17" t="s">
        <v>46</v>
      </c>
      <c r="F24" s="28"/>
      <c r="G24" s="28"/>
      <c r="H24" s="43"/>
      <c r="I24" s="29">
        <v>40000</v>
      </c>
      <c r="J24" s="34"/>
      <c r="K24" s="39">
        <f t="shared" si="0"/>
        <v>0</v>
      </c>
      <c r="L24" s="18">
        <f t="shared" si="1"/>
        <v>40000</v>
      </c>
      <c r="M24" s="637">
        <f t="shared" si="2"/>
        <v>40000</v>
      </c>
      <c r="N24" s="30" t="s">
        <v>45</v>
      </c>
      <c r="O24" s="3"/>
      <c r="P24" s="3"/>
      <c r="Q24" s="6"/>
      <c r="R24" s="742"/>
      <c r="S24" s="742"/>
      <c r="T24" s="742"/>
      <c r="U24" s="742"/>
      <c r="V24" s="742"/>
      <c r="W24" s="742"/>
      <c r="Z24" s="731"/>
      <c r="AA24" s="731"/>
      <c r="AB24" s="731"/>
    </row>
    <row r="25" spans="3:23" ht="18.75" customHeight="1">
      <c r="C25" s="644">
        <f t="shared" si="3"/>
        <v>3</v>
      </c>
      <c r="D25" s="36"/>
      <c r="E25" s="17" t="s">
        <v>47</v>
      </c>
      <c r="F25" s="28"/>
      <c r="G25" s="28"/>
      <c r="H25" s="43"/>
      <c r="I25" s="29">
        <v>40000</v>
      </c>
      <c r="J25" s="34"/>
      <c r="K25" s="39">
        <f t="shared" si="0"/>
        <v>0</v>
      </c>
      <c r="L25" s="18">
        <f t="shared" si="1"/>
        <v>40000</v>
      </c>
      <c r="M25" s="637">
        <f t="shared" si="2"/>
        <v>40000</v>
      </c>
      <c r="N25" s="30" t="s">
        <v>45</v>
      </c>
      <c r="O25" s="3"/>
      <c r="P25" s="3"/>
      <c r="Q25" s="6"/>
      <c r="R25" s="742"/>
      <c r="S25" s="742"/>
      <c r="T25" s="742"/>
      <c r="U25" s="742"/>
      <c r="V25" s="742"/>
      <c r="W25" s="742"/>
    </row>
    <row r="26" spans="3:23" ht="18.75" customHeight="1">
      <c r="C26" s="644">
        <f t="shared" si="3"/>
        <v>4</v>
      </c>
      <c r="D26" s="36"/>
      <c r="E26" s="17" t="s">
        <v>48</v>
      </c>
      <c r="F26" s="28"/>
      <c r="G26" s="28"/>
      <c r="H26" s="43"/>
      <c r="I26" s="29">
        <v>40000</v>
      </c>
      <c r="J26" s="34"/>
      <c r="K26" s="39">
        <f t="shared" si="0"/>
        <v>0</v>
      </c>
      <c r="L26" s="18">
        <f t="shared" si="1"/>
        <v>40000</v>
      </c>
      <c r="M26" s="637">
        <f t="shared" si="2"/>
        <v>40000</v>
      </c>
      <c r="N26" s="30" t="s">
        <v>45</v>
      </c>
      <c r="O26" s="3"/>
      <c r="P26" s="3"/>
      <c r="Q26" s="6"/>
      <c r="R26" s="742"/>
      <c r="S26" s="742"/>
      <c r="T26" s="742"/>
      <c r="U26" s="742"/>
      <c r="V26" s="742"/>
      <c r="W26" s="742"/>
    </row>
    <row r="27" spans="3:23" ht="18.75" customHeight="1">
      <c r="C27" s="644">
        <f t="shared" si="3"/>
        <v>5</v>
      </c>
      <c r="D27" s="36"/>
      <c r="E27" s="17" t="s">
        <v>49</v>
      </c>
      <c r="F27" s="28"/>
      <c r="G27" s="28"/>
      <c r="H27" s="43"/>
      <c r="I27" s="29">
        <v>40000</v>
      </c>
      <c r="J27" s="34"/>
      <c r="K27" s="39">
        <f t="shared" si="0"/>
        <v>0</v>
      </c>
      <c r="L27" s="18">
        <f t="shared" si="1"/>
        <v>40000</v>
      </c>
      <c r="M27" s="637">
        <f t="shared" si="2"/>
        <v>40000</v>
      </c>
      <c r="N27" s="30" t="s">
        <v>45</v>
      </c>
      <c r="O27" s="3"/>
      <c r="P27" s="3"/>
      <c r="Q27" s="6"/>
      <c r="R27" s="742"/>
      <c r="S27" s="742"/>
      <c r="T27" s="742"/>
      <c r="U27" s="742"/>
      <c r="V27" s="742"/>
      <c r="W27" s="742"/>
    </row>
    <row r="28" spans="3:41" ht="18.75" customHeight="1">
      <c r="C28" s="644">
        <f t="shared" si="3"/>
        <v>6</v>
      </c>
      <c r="D28" s="36"/>
      <c r="E28" s="17" t="s">
        <v>50</v>
      </c>
      <c r="F28" s="28"/>
      <c r="G28" s="28"/>
      <c r="H28" s="43"/>
      <c r="I28" s="29">
        <v>45000</v>
      </c>
      <c r="J28" s="34"/>
      <c r="K28" s="39">
        <f t="shared" si="0"/>
        <v>0</v>
      </c>
      <c r="L28" s="18">
        <f t="shared" si="1"/>
        <v>45000</v>
      </c>
      <c r="M28" s="637">
        <f t="shared" si="2"/>
        <v>45000</v>
      </c>
      <c r="N28" s="30" t="s">
        <v>45</v>
      </c>
      <c r="O28" s="3"/>
      <c r="P28" s="3"/>
      <c r="Q28" s="6"/>
      <c r="R28" s="742"/>
      <c r="S28" s="742"/>
      <c r="T28" s="743"/>
      <c r="U28" s="742"/>
      <c r="V28" s="742"/>
      <c r="W28" s="742"/>
      <c r="X28" s="731"/>
      <c r="Z28" s="731"/>
      <c r="AA28" s="731"/>
      <c r="AO28" s="731"/>
    </row>
    <row r="29" spans="3:27" ht="18.75" customHeight="1">
      <c r="C29" s="644">
        <f t="shared" si="3"/>
        <v>7</v>
      </c>
      <c r="D29" s="36"/>
      <c r="E29" s="17" t="s">
        <v>51</v>
      </c>
      <c r="F29" s="28"/>
      <c r="G29" s="28"/>
      <c r="H29" s="43"/>
      <c r="I29" s="29">
        <v>40000</v>
      </c>
      <c r="J29" s="34"/>
      <c r="K29" s="39">
        <f t="shared" si="0"/>
        <v>0</v>
      </c>
      <c r="L29" s="18">
        <f t="shared" si="1"/>
        <v>40000</v>
      </c>
      <c r="M29" s="637">
        <f t="shared" si="2"/>
        <v>40000</v>
      </c>
      <c r="N29" s="30" t="s">
        <v>45</v>
      </c>
      <c r="O29" s="3"/>
      <c r="P29" s="3"/>
      <c r="Q29" s="6"/>
      <c r="R29" s="742"/>
      <c r="S29" s="742"/>
      <c r="T29" s="743"/>
      <c r="U29" s="742"/>
      <c r="V29" s="742"/>
      <c r="W29" s="742"/>
      <c r="X29" s="731"/>
      <c r="Z29" s="731"/>
      <c r="AA29" s="731"/>
    </row>
    <row r="30" spans="3:28" ht="18.75" customHeight="1">
      <c r="C30" s="644">
        <f t="shared" si="3"/>
        <v>8</v>
      </c>
      <c r="D30" s="36"/>
      <c r="E30" s="17" t="s">
        <v>52</v>
      </c>
      <c r="F30" s="28"/>
      <c r="G30" s="28"/>
      <c r="H30" s="43"/>
      <c r="I30" s="29">
        <v>45000</v>
      </c>
      <c r="J30" s="34"/>
      <c r="K30" s="39">
        <f t="shared" si="0"/>
        <v>0</v>
      </c>
      <c r="L30" s="18">
        <f t="shared" si="1"/>
        <v>45000</v>
      </c>
      <c r="M30" s="637">
        <f t="shared" si="2"/>
        <v>45000</v>
      </c>
      <c r="N30" s="30" t="s">
        <v>45</v>
      </c>
      <c r="O30" s="3"/>
      <c r="P30" s="3"/>
      <c r="Q30" s="6"/>
      <c r="R30" s="742"/>
      <c r="S30" s="742"/>
      <c r="T30" s="743"/>
      <c r="U30" s="742"/>
      <c r="V30" s="742"/>
      <c r="W30" s="742"/>
      <c r="X30" s="731"/>
      <c r="Z30" s="731"/>
      <c r="AA30" s="731"/>
      <c r="AB30" s="731"/>
    </row>
    <row r="31" spans="3:41" ht="18.75" customHeight="1">
      <c r="C31" s="644">
        <f t="shared" si="3"/>
        <v>9</v>
      </c>
      <c r="D31" s="36"/>
      <c r="E31" s="17" t="s">
        <v>53</v>
      </c>
      <c r="F31" s="28"/>
      <c r="G31" s="28"/>
      <c r="H31" s="43"/>
      <c r="I31" s="29">
        <v>35000</v>
      </c>
      <c r="J31" s="34"/>
      <c r="K31" s="39">
        <f t="shared" si="0"/>
        <v>0</v>
      </c>
      <c r="L31" s="18">
        <f t="shared" si="1"/>
        <v>35000</v>
      </c>
      <c r="M31" s="637">
        <f t="shared" si="2"/>
        <v>35000</v>
      </c>
      <c r="N31" s="30" t="s">
        <v>45</v>
      </c>
      <c r="O31" s="3"/>
      <c r="P31" s="3"/>
      <c r="Q31" s="6"/>
      <c r="R31" s="742"/>
      <c r="S31" s="742"/>
      <c r="T31" s="743"/>
      <c r="U31" s="742"/>
      <c r="V31" s="742"/>
      <c r="W31" s="742"/>
      <c r="X31" s="731"/>
      <c r="Z31" s="731"/>
      <c r="AA31" s="731"/>
      <c r="AO31" s="731"/>
    </row>
    <row r="32" spans="3:55" ht="18.75" customHeight="1">
      <c r="C32" s="644">
        <f t="shared" si="3"/>
        <v>10</v>
      </c>
      <c r="D32" s="36"/>
      <c r="E32" s="17" t="s">
        <v>54</v>
      </c>
      <c r="F32" s="28"/>
      <c r="G32" s="28"/>
      <c r="H32" s="43"/>
      <c r="I32" s="29">
        <v>40000</v>
      </c>
      <c r="J32" s="34"/>
      <c r="K32" s="39">
        <f t="shared" si="0"/>
        <v>0</v>
      </c>
      <c r="L32" s="18">
        <f t="shared" si="1"/>
        <v>40000</v>
      </c>
      <c r="M32" s="637">
        <f t="shared" si="2"/>
        <v>40000</v>
      </c>
      <c r="N32" s="30" t="s">
        <v>45</v>
      </c>
      <c r="O32" s="3"/>
      <c r="P32" s="3"/>
      <c r="Q32" s="6"/>
      <c r="R32" s="742"/>
      <c r="S32" s="742"/>
      <c r="T32" s="743"/>
      <c r="U32" s="742"/>
      <c r="V32" s="742"/>
      <c r="W32" s="742"/>
      <c r="AM32" s="731"/>
      <c r="AO32" s="731"/>
      <c r="AS32" s="731"/>
      <c r="AU32" s="731"/>
      <c r="AZ32" s="731"/>
      <c r="BC32" s="731"/>
    </row>
    <row r="33" spans="3:55" ht="18.75" customHeight="1">
      <c r="C33" s="644" t="s">
        <v>41</v>
      </c>
      <c r="D33" s="36"/>
      <c r="E33" s="17" t="s">
        <v>41</v>
      </c>
      <c r="F33" s="28"/>
      <c r="G33" s="28"/>
      <c r="H33" s="43"/>
      <c r="I33" s="29"/>
      <c r="J33" s="31" t="s">
        <v>41</v>
      </c>
      <c r="K33" s="34"/>
      <c r="L33" s="32" t="s">
        <v>41</v>
      </c>
      <c r="M33" s="636"/>
      <c r="N33" s="30" t="s">
        <v>41</v>
      </c>
      <c r="O33" s="10"/>
      <c r="P33" s="16"/>
      <c r="Q33" s="6"/>
      <c r="R33" s="742"/>
      <c r="S33" s="742"/>
      <c r="T33" s="742"/>
      <c r="U33" s="742"/>
      <c r="V33" s="743"/>
      <c r="W33" s="742"/>
      <c r="X33" s="731"/>
      <c r="Z33" s="731"/>
      <c r="AA33" s="731"/>
      <c r="AM33" s="731"/>
      <c r="AO33" s="731"/>
      <c r="AS33" s="731"/>
      <c r="AU33" s="731"/>
      <c r="AZ33" s="731"/>
      <c r="BC33" s="731"/>
    </row>
    <row r="34" spans="3:28" ht="18.75" customHeight="1">
      <c r="C34" s="744"/>
      <c r="D34" s="36"/>
      <c r="E34" s="634" t="s">
        <v>55</v>
      </c>
      <c r="F34" s="28"/>
      <c r="G34" s="28"/>
      <c r="H34" s="43"/>
      <c r="I34" s="34"/>
      <c r="J34" s="34"/>
      <c r="K34" s="34"/>
      <c r="L34" s="33"/>
      <c r="M34" s="636"/>
      <c r="N34" s="35"/>
      <c r="O34" s="7"/>
      <c r="P34" s="16"/>
      <c r="Q34" s="6"/>
      <c r="R34" s="742"/>
      <c r="S34" s="742"/>
      <c r="T34" s="742"/>
      <c r="U34" s="742"/>
      <c r="V34" s="742"/>
      <c r="W34" s="742"/>
      <c r="X34" s="731"/>
      <c r="Z34" s="731"/>
      <c r="AA34" s="731"/>
      <c r="AB34" s="731"/>
    </row>
    <row r="35" spans="3:23" ht="18.75" customHeight="1">
      <c r="C35" s="645"/>
      <c r="D35" s="36"/>
      <c r="E35" s="28"/>
      <c r="F35" s="28"/>
      <c r="G35" s="28"/>
      <c r="H35" s="43"/>
      <c r="I35" s="34"/>
      <c r="J35" s="34"/>
      <c r="K35" s="34"/>
      <c r="L35" s="33"/>
      <c r="M35" s="636"/>
      <c r="N35" s="37"/>
      <c r="O35" s="8"/>
      <c r="P35" s="16"/>
      <c r="Q35" s="6"/>
      <c r="R35" s="742"/>
      <c r="S35" s="742"/>
      <c r="T35" s="742"/>
      <c r="U35" s="742"/>
      <c r="V35" s="742"/>
      <c r="W35" s="742"/>
    </row>
    <row r="36" spans="3:55" ht="18.75" customHeight="1">
      <c r="C36" s="644">
        <v>1</v>
      </c>
      <c r="D36" s="36"/>
      <c r="E36" s="17" t="s">
        <v>56</v>
      </c>
      <c r="F36" s="28"/>
      <c r="G36" s="28"/>
      <c r="H36" s="757"/>
      <c r="I36" s="38">
        <v>35000</v>
      </c>
      <c r="J36" s="29">
        <f>I36*J$20</f>
        <v>0</v>
      </c>
      <c r="K36" s="39">
        <f aca="true" t="shared" si="4" ref="K36:K56">I36*K$20</f>
        <v>0</v>
      </c>
      <c r="L36" s="18">
        <f>I36+J36+K36</f>
        <v>35000</v>
      </c>
      <c r="M36" s="637">
        <f>ROUND(L36/10-0.5,0)*10</f>
        <v>35000</v>
      </c>
      <c r="N36" s="30" t="s">
        <v>57</v>
      </c>
      <c r="O36" s="20"/>
      <c r="P36" s="16"/>
      <c r="Q36" s="6"/>
      <c r="R36" s="743"/>
      <c r="S36" s="742"/>
      <c r="T36" s="742"/>
      <c r="U36" s="742"/>
      <c r="V36" s="742"/>
      <c r="W36" s="742"/>
      <c r="AM36" s="731"/>
      <c r="AO36" s="731"/>
      <c r="AQ36" s="731"/>
      <c r="AS36" s="731"/>
      <c r="AU36" s="731"/>
      <c r="AV36" s="731"/>
      <c r="AZ36" s="731"/>
      <c r="BC36" s="731"/>
    </row>
    <row r="37" spans="3:27" ht="18.75" customHeight="1">
      <c r="C37" s="644">
        <f aca="true" t="shared" si="5" ref="C37:C104">C36+1</f>
        <v>2</v>
      </c>
      <c r="D37" s="36"/>
      <c r="E37" s="17" t="s">
        <v>58</v>
      </c>
      <c r="F37" s="28"/>
      <c r="G37" s="28"/>
      <c r="H37" s="43"/>
      <c r="I37" s="38">
        <f>70000</f>
        <v>70000</v>
      </c>
      <c r="J37" s="29">
        <f aca="true" t="shared" si="6" ref="J37:J100">I37*J$20</f>
        <v>0</v>
      </c>
      <c r="K37" s="39">
        <f t="shared" si="4"/>
        <v>0</v>
      </c>
      <c r="L37" s="18">
        <f aca="true" t="shared" si="7" ref="L37:L99">I37+J37+K37</f>
        <v>70000</v>
      </c>
      <c r="M37" s="637">
        <f aca="true" t="shared" si="8" ref="M37:M100">ROUND(L37/10-0.5,0)*10</f>
        <v>70000</v>
      </c>
      <c r="N37" s="30" t="s">
        <v>57</v>
      </c>
      <c r="O37" s="20"/>
      <c r="P37" s="16"/>
      <c r="Q37" s="6"/>
      <c r="R37" s="743"/>
      <c r="S37" s="742"/>
      <c r="T37" s="742"/>
      <c r="U37" s="742"/>
      <c r="V37" s="743"/>
      <c r="W37" s="742"/>
      <c r="X37" s="731"/>
      <c r="Z37" s="731"/>
      <c r="AA37" s="731"/>
    </row>
    <row r="38" spans="3:28" ht="18.75" customHeight="1">
      <c r="C38" s="644">
        <f t="shared" si="5"/>
        <v>3</v>
      </c>
      <c r="D38" s="36"/>
      <c r="E38" s="17" t="s">
        <v>59</v>
      </c>
      <c r="F38" s="28"/>
      <c r="G38" s="28"/>
      <c r="H38" s="43"/>
      <c r="I38" s="29">
        <f>65000</f>
        <v>65000</v>
      </c>
      <c r="J38" s="29">
        <f t="shared" si="6"/>
        <v>0</v>
      </c>
      <c r="K38" s="39">
        <f t="shared" si="4"/>
        <v>0</v>
      </c>
      <c r="L38" s="18">
        <f t="shared" si="7"/>
        <v>65000</v>
      </c>
      <c r="M38" s="637">
        <f t="shared" si="8"/>
        <v>65000</v>
      </c>
      <c r="N38" s="30" t="s">
        <v>57</v>
      </c>
      <c r="O38" s="20"/>
      <c r="P38" s="16"/>
      <c r="Q38" s="6"/>
      <c r="R38" s="743"/>
      <c r="S38" s="742"/>
      <c r="T38" s="742"/>
      <c r="U38" s="742"/>
      <c r="V38" s="742"/>
      <c r="W38" s="742"/>
      <c r="X38" s="731"/>
      <c r="Z38" s="731"/>
      <c r="AA38" s="731"/>
      <c r="AB38" s="731"/>
    </row>
    <row r="39" spans="3:55" ht="18.75" customHeight="1">
      <c r="C39" s="644">
        <f t="shared" si="5"/>
        <v>4</v>
      </c>
      <c r="D39" s="36"/>
      <c r="E39" s="17" t="s">
        <v>60</v>
      </c>
      <c r="F39" s="28"/>
      <c r="G39" s="28"/>
      <c r="H39" s="43"/>
      <c r="I39" s="38">
        <f>100000</f>
        <v>100000</v>
      </c>
      <c r="J39" s="29">
        <f t="shared" si="6"/>
        <v>0</v>
      </c>
      <c r="K39" s="39">
        <f t="shared" si="4"/>
        <v>0</v>
      </c>
      <c r="L39" s="18">
        <f t="shared" si="7"/>
        <v>100000</v>
      </c>
      <c r="M39" s="637">
        <f t="shared" si="8"/>
        <v>100000</v>
      </c>
      <c r="N39" s="30" t="s">
        <v>57</v>
      </c>
      <c r="O39" s="20"/>
      <c r="P39" s="16"/>
      <c r="Q39" s="6"/>
      <c r="R39" s="743"/>
      <c r="S39" s="742"/>
      <c r="T39" s="743"/>
      <c r="U39" s="742"/>
      <c r="V39" s="742"/>
      <c r="W39" s="742"/>
      <c r="X39" s="731"/>
      <c r="Z39" s="731"/>
      <c r="AA39" s="731"/>
      <c r="AM39" s="731"/>
      <c r="AO39" s="731"/>
      <c r="AQ39" s="731"/>
      <c r="AS39" s="731"/>
      <c r="AU39" s="731"/>
      <c r="AV39" s="731"/>
      <c r="AZ39" s="731"/>
      <c r="BC39" s="731"/>
    </row>
    <row r="40" spans="3:55" ht="18.75" customHeight="1">
      <c r="C40" s="644">
        <f t="shared" si="5"/>
        <v>5</v>
      </c>
      <c r="D40" s="36"/>
      <c r="E40" s="17" t="s">
        <v>61</v>
      </c>
      <c r="F40" s="28"/>
      <c r="G40" s="28"/>
      <c r="H40" s="43"/>
      <c r="I40" s="38">
        <v>140000</v>
      </c>
      <c r="J40" s="29">
        <f t="shared" si="6"/>
        <v>0</v>
      </c>
      <c r="K40" s="39">
        <f t="shared" si="4"/>
        <v>0</v>
      </c>
      <c r="L40" s="18">
        <f t="shared" si="7"/>
        <v>140000</v>
      </c>
      <c r="M40" s="637">
        <f t="shared" si="8"/>
        <v>140000</v>
      </c>
      <c r="N40" s="30" t="s">
        <v>57</v>
      </c>
      <c r="O40" s="20"/>
      <c r="P40" s="16"/>
      <c r="Q40" s="6"/>
      <c r="R40" s="742"/>
      <c r="S40" s="742"/>
      <c r="T40" s="742"/>
      <c r="U40" s="742"/>
      <c r="V40" s="742"/>
      <c r="W40" s="742"/>
      <c r="X40" s="731"/>
      <c r="Z40" s="731"/>
      <c r="AA40" s="731"/>
      <c r="AM40" s="731"/>
      <c r="AO40" s="731"/>
      <c r="AQ40" s="731"/>
      <c r="AS40" s="731"/>
      <c r="AU40" s="731"/>
      <c r="AV40" s="731"/>
      <c r="AZ40" s="731"/>
      <c r="BC40" s="731"/>
    </row>
    <row r="41" spans="3:55" ht="18.75" customHeight="1">
      <c r="C41" s="644">
        <f t="shared" si="5"/>
        <v>6</v>
      </c>
      <c r="D41" s="36"/>
      <c r="E41" s="17" t="s">
        <v>62</v>
      </c>
      <c r="F41" s="28"/>
      <c r="G41" s="28"/>
      <c r="H41" s="43"/>
      <c r="I41" s="38">
        <f>160000</f>
        <v>160000</v>
      </c>
      <c r="J41" s="29">
        <f t="shared" si="6"/>
        <v>0</v>
      </c>
      <c r="K41" s="39">
        <f t="shared" si="4"/>
        <v>0</v>
      </c>
      <c r="L41" s="18">
        <f t="shared" si="7"/>
        <v>160000</v>
      </c>
      <c r="M41" s="637">
        <f t="shared" si="8"/>
        <v>160000</v>
      </c>
      <c r="N41" s="30" t="s">
        <v>57</v>
      </c>
      <c r="O41" s="20"/>
      <c r="P41" s="16"/>
      <c r="Q41" s="6"/>
      <c r="R41" s="743"/>
      <c r="S41" s="742"/>
      <c r="T41" s="742"/>
      <c r="U41" s="742"/>
      <c r="V41" s="742"/>
      <c r="W41" s="742"/>
      <c r="X41" s="731"/>
      <c r="Z41" s="731"/>
      <c r="AA41" s="731"/>
      <c r="AM41" s="731"/>
      <c r="AO41" s="731"/>
      <c r="AQ41" s="731"/>
      <c r="AS41" s="731"/>
      <c r="AU41" s="731"/>
      <c r="AZ41" s="731"/>
      <c r="BC41" s="731"/>
    </row>
    <row r="42" spans="3:28" ht="18.75" customHeight="1">
      <c r="C42" s="644">
        <f t="shared" si="5"/>
        <v>7</v>
      </c>
      <c r="D42" s="36"/>
      <c r="E42" s="17" t="s">
        <v>63</v>
      </c>
      <c r="F42" s="28"/>
      <c r="G42" s="28"/>
      <c r="H42" s="43"/>
      <c r="I42" s="38">
        <v>115000</v>
      </c>
      <c r="J42" s="29">
        <f t="shared" si="6"/>
        <v>0</v>
      </c>
      <c r="K42" s="39">
        <f t="shared" si="4"/>
        <v>0</v>
      </c>
      <c r="L42" s="18">
        <f t="shared" si="7"/>
        <v>115000</v>
      </c>
      <c r="M42" s="637">
        <f t="shared" si="8"/>
        <v>115000</v>
      </c>
      <c r="N42" s="30" t="s">
        <v>57</v>
      </c>
      <c r="O42" s="20"/>
      <c r="P42" s="16"/>
      <c r="Q42" s="6"/>
      <c r="R42" s="743"/>
      <c r="S42" s="742"/>
      <c r="T42" s="742"/>
      <c r="U42" s="742"/>
      <c r="V42" s="742"/>
      <c r="W42" s="742"/>
      <c r="X42" s="731"/>
      <c r="Z42" s="731"/>
      <c r="AA42" s="731"/>
      <c r="AB42" s="731"/>
    </row>
    <row r="43" spans="3:58" ht="18.75" customHeight="1">
      <c r="C43" s="644">
        <f t="shared" si="5"/>
        <v>8</v>
      </c>
      <c r="D43" s="36"/>
      <c r="E43" s="17" t="s">
        <v>64</v>
      </c>
      <c r="F43" s="28"/>
      <c r="G43" s="17" t="s">
        <v>41</v>
      </c>
      <c r="H43" s="635"/>
      <c r="I43" s="38">
        <f>330/1.1</f>
        <v>300</v>
      </c>
      <c r="J43" s="29">
        <f t="shared" si="6"/>
        <v>0</v>
      </c>
      <c r="K43" s="39">
        <f t="shared" si="4"/>
        <v>0</v>
      </c>
      <c r="L43" s="18">
        <f t="shared" si="7"/>
        <v>300</v>
      </c>
      <c r="M43" s="637">
        <f t="shared" si="8"/>
        <v>300</v>
      </c>
      <c r="N43" s="30" t="s">
        <v>65</v>
      </c>
      <c r="O43" s="20"/>
      <c r="P43" s="16"/>
      <c r="Q43" s="6"/>
      <c r="R43" s="743"/>
      <c r="S43" s="742"/>
      <c r="T43" s="742"/>
      <c r="U43" s="742"/>
      <c r="V43" s="742"/>
      <c r="W43" s="742"/>
      <c r="X43" s="731"/>
      <c r="Z43" s="731"/>
      <c r="AA43" s="731"/>
      <c r="AF43" s="731"/>
      <c r="AM43" s="731"/>
      <c r="AO43" s="731"/>
      <c r="AQ43" s="731"/>
      <c r="AS43" s="731"/>
      <c r="AU43" s="731"/>
      <c r="AV43" s="731"/>
      <c r="BC43" s="731"/>
      <c r="BF43" s="731"/>
    </row>
    <row r="44" spans="3:27" ht="18.75" customHeight="1">
      <c r="C44" s="644">
        <f t="shared" si="5"/>
        <v>9</v>
      </c>
      <c r="D44" s="36"/>
      <c r="E44" s="17" t="s">
        <v>66</v>
      </c>
      <c r="F44" s="17" t="s">
        <v>9</v>
      </c>
      <c r="G44" s="28" t="s">
        <v>41</v>
      </c>
      <c r="H44" s="43"/>
      <c r="I44" s="38">
        <v>39000</v>
      </c>
      <c r="J44" s="29">
        <f t="shared" si="6"/>
        <v>0</v>
      </c>
      <c r="K44" s="39">
        <f t="shared" si="4"/>
        <v>0</v>
      </c>
      <c r="L44" s="18">
        <f t="shared" si="7"/>
        <v>39000</v>
      </c>
      <c r="M44" s="637">
        <f t="shared" si="8"/>
        <v>39000</v>
      </c>
      <c r="N44" s="30" t="s">
        <v>67</v>
      </c>
      <c r="O44" s="20">
        <v>31000</v>
      </c>
      <c r="P44" s="16"/>
      <c r="Q44" s="6"/>
      <c r="R44" s="743"/>
      <c r="S44" s="742"/>
      <c r="T44" s="743"/>
      <c r="U44" s="742"/>
      <c r="V44" s="742"/>
      <c r="W44" s="742"/>
      <c r="X44" s="731"/>
      <c r="Z44" s="731"/>
      <c r="AA44" s="731"/>
    </row>
    <row r="45" spans="1:52" ht="18.75" customHeight="1">
      <c r="A45" s="531" t="s">
        <v>41</v>
      </c>
      <c r="C45" s="644">
        <f t="shared" si="5"/>
        <v>10</v>
      </c>
      <c r="D45" s="36"/>
      <c r="E45" s="17" t="s">
        <v>68</v>
      </c>
      <c r="F45" s="28"/>
      <c r="G45" s="28"/>
      <c r="H45" s="43"/>
      <c r="I45" s="38">
        <v>7000</v>
      </c>
      <c r="J45" s="29">
        <f t="shared" si="6"/>
        <v>0</v>
      </c>
      <c r="K45" s="39">
        <f t="shared" si="4"/>
        <v>0</v>
      </c>
      <c r="L45" s="18">
        <f t="shared" si="7"/>
        <v>7000</v>
      </c>
      <c r="M45" s="637">
        <f t="shared" si="8"/>
        <v>7000</v>
      </c>
      <c r="N45" s="30" t="s">
        <v>70</v>
      </c>
      <c r="O45" s="20">
        <v>48000</v>
      </c>
      <c r="P45" s="16"/>
      <c r="Q45" s="6"/>
      <c r="R45" s="743"/>
      <c r="S45" s="742"/>
      <c r="T45" s="742"/>
      <c r="U45" s="742"/>
      <c r="V45" s="742"/>
      <c r="W45" s="742"/>
      <c r="X45" s="731"/>
      <c r="Z45" s="731"/>
      <c r="AA45" s="731"/>
      <c r="AJ45" s="731"/>
      <c r="AQ45" s="731"/>
      <c r="AS45" s="731"/>
      <c r="AU45" s="731"/>
      <c r="AV45" s="731"/>
      <c r="AZ45" s="731"/>
    </row>
    <row r="46" spans="1:55" ht="18.75" customHeight="1">
      <c r="A46" s="531" t="s">
        <v>41</v>
      </c>
      <c r="C46" s="644">
        <f t="shared" si="5"/>
        <v>11</v>
      </c>
      <c r="D46" s="36"/>
      <c r="E46" s="17" t="s">
        <v>69</v>
      </c>
      <c r="F46" s="28"/>
      <c r="G46" s="28"/>
      <c r="H46" s="43"/>
      <c r="I46" s="38">
        <v>9800</v>
      </c>
      <c r="J46" s="29">
        <f t="shared" si="6"/>
        <v>0</v>
      </c>
      <c r="K46" s="39">
        <f t="shared" si="4"/>
        <v>0</v>
      </c>
      <c r="L46" s="18">
        <f t="shared" si="7"/>
        <v>9800</v>
      </c>
      <c r="M46" s="637">
        <f t="shared" si="8"/>
        <v>9800</v>
      </c>
      <c r="N46" s="30" t="s">
        <v>70</v>
      </c>
      <c r="O46" s="20">
        <v>4750</v>
      </c>
      <c r="P46" s="16"/>
      <c r="Q46" s="6"/>
      <c r="R46" s="743"/>
      <c r="S46" s="742"/>
      <c r="T46" s="742"/>
      <c r="U46" s="742"/>
      <c r="V46" s="742"/>
      <c r="W46" s="742"/>
      <c r="X46" s="731"/>
      <c r="Z46" s="731"/>
      <c r="AA46" s="731"/>
      <c r="AC46" s="731"/>
      <c r="AJ46" s="731"/>
      <c r="AQ46" s="731"/>
      <c r="AS46" s="731"/>
      <c r="AU46" s="731"/>
      <c r="AV46" s="731"/>
      <c r="AZ46" s="731"/>
      <c r="BC46" s="731"/>
    </row>
    <row r="47" spans="3:55" ht="18.75" customHeight="1">
      <c r="C47" s="644">
        <f t="shared" si="5"/>
        <v>12</v>
      </c>
      <c r="D47" s="36"/>
      <c r="E47" s="17" t="s">
        <v>71</v>
      </c>
      <c r="F47" s="28"/>
      <c r="G47" s="28"/>
      <c r="H47" s="43"/>
      <c r="I47" s="38">
        <f>7500/1.1</f>
        <v>6818.181818181818</v>
      </c>
      <c r="J47" s="29">
        <f t="shared" si="6"/>
        <v>0</v>
      </c>
      <c r="K47" s="39">
        <f t="shared" si="4"/>
        <v>0</v>
      </c>
      <c r="L47" s="18">
        <f t="shared" si="7"/>
        <v>6818.181818181818</v>
      </c>
      <c r="M47" s="637">
        <f t="shared" si="8"/>
        <v>6810</v>
      </c>
      <c r="N47" s="30" t="s">
        <v>70</v>
      </c>
      <c r="O47" s="20">
        <v>8000</v>
      </c>
      <c r="P47" s="16"/>
      <c r="Q47" s="6"/>
      <c r="R47" s="743"/>
      <c r="S47" s="742"/>
      <c r="T47" s="742"/>
      <c r="U47" s="742"/>
      <c r="V47" s="742"/>
      <c r="W47" s="742"/>
      <c r="X47" s="731"/>
      <c r="Y47" s="731"/>
      <c r="Z47" s="731"/>
      <c r="AA47" s="731"/>
      <c r="AQ47" s="731"/>
      <c r="AV47" s="731"/>
      <c r="AZ47" s="731"/>
      <c r="BC47" s="731"/>
    </row>
    <row r="48" spans="3:55" ht="18.75" customHeight="1">
      <c r="C48" s="644">
        <f t="shared" si="5"/>
        <v>13</v>
      </c>
      <c r="D48" s="36"/>
      <c r="E48" s="17" t="s">
        <v>72</v>
      </c>
      <c r="F48" s="28"/>
      <c r="G48" s="28"/>
      <c r="H48" s="43"/>
      <c r="I48" s="38">
        <f>9000/1.1*1.05</f>
        <v>8590.90909090909</v>
      </c>
      <c r="J48" s="29">
        <f t="shared" si="6"/>
        <v>0</v>
      </c>
      <c r="K48" s="39">
        <f t="shared" si="4"/>
        <v>0</v>
      </c>
      <c r="L48" s="18">
        <f t="shared" si="7"/>
        <v>8590.90909090909</v>
      </c>
      <c r="M48" s="637">
        <f t="shared" si="8"/>
        <v>8590</v>
      </c>
      <c r="N48" s="30" t="s">
        <v>70</v>
      </c>
      <c r="O48" s="20">
        <v>8000</v>
      </c>
      <c r="P48" s="16"/>
      <c r="Q48" s="6"/>
      <c r="R48" s="743"/>
      <c r="S48" s="742"/>
      <c r="T48" s="743"/>
      <c r="U48" s="742"/>
      <c r="V48" s="742"/>
      <c r="W48" s="742"/>
      <c r="X48" s="731"/>
      <c r="Y48" s="731"/>
      <c r="Z48" s="731"/>
      <c r="AA48" s="731"/>
      <c r="AQ48" s="731"/>
      <c r="AV48" s="731"/>
      <c r="AZ48" s="731"/>
      <c r="BC48" s="731"/>
    </row>
    <row r="49" spans="3:55" ht="18.75" customHeight="1">
      <c r="C49" s="644">
        <f t="shared" si="5"/>
        <v>14</v>
      </c>
      <c r="D49" s="36"/>
      <c r="E49" s="17" t="s">
        <v>124</v>
      </c>
      <c r="F49" s="28"/>
      <c r="G49" s="28"/>
      <c r="H49" s="43"/>
      <c r="I49" s="38">
        <f>1500</f>
        <v>1500</v>
      </c>
      <c r="J49" s="29">
        <f>I49*J$20</f>
        <v>0</v>
      </c>
      <c r="K49" s="39">
        <f t="shared" si="4"/>
        <v>0</v>
      </c>
      <c r="L49" s="18">
        <f>I49+J49+K49</f>
        <v>1500</v>
      </c>
      <c r="M49" s="637">
        <f>ROUND(L49/10-0.5,0)*10</f>
        <v>1500</v>
      </c>
      <c r="N49" s="30" t="s">
        <v>65</v>
      </c>
      <c r="O49" s="20"/>
      <c r="P49" s="16"/>
      <c r="Q49" s="6"/>
      <c r="R49" s="743"/>
      <c r="S49" s="742"/>
      <c r="T49" s="743"/>
      <c r="U49" s="742"/>
      <c r="V49" s="742"/>
      <c r="W49" s="742"/>
      <c r="X49" s="731"/>
      <c r="Y49" s="731"/>
      <c r="Z49" s="731"/>
      <c r="AA49" s="731"/>
      <c r="AQ49" s="731"/>
      <c r="AV49" s="731"/>
      <c r="AZ49" s="731"/>
      <c r="BC49" s="731"/>
    </row>
    <row r="50" spans="3:55" ht="18.75" customHeight="1">
      <c r="C50" s="644">
        <f t="shared" si="5"/>
        <v>15</v>
      </c>
      <c r="D50" s="36"/>
      <c r="E50" s="17" t="s">
        <v>73</v>
      </c>
      <c r="F50" s="28"/>
      <c r="G50" s="28"/>
      <c r="H50" s="43"/>
      <c r="I50" s="38">
        <f>8500</f>
        <v>8500</v>
      </c>
      <c r="J50" s="29">
        <f t="shared" si="6"/>
        <v>0</v>
      </c>
      <c r="K50" s="39">
        <f t="shared" si="4"/>
        <v>0</v>
      </c>
      <c r="L50" s="18">
        <f t="shared" si="7"/>
        <v>8500</v>
      </c>
      <c r="M50" s="638">
        <f t="shared" si="8"/>
        <v>8500</v>
      </c>
      <c r="N50" s="30" t="s">
        <v>70</v>
      </c>
      <c r="O50" s="20">
        <v>8000</v>
      </c>
      <c r="P50" s="16"/>
      <c r="Q50" s="6"/>
      <c r="R50" s="743"/>
      <c r="S50" s="742"/>
      <c r="T50" s="743"/>
      <c r="U50" s="742"/>
      <c r="V50" s="742"/>
      <c r="W50" s="742"/>
      <c r="X50" s="731"/>
      <c r="Y50" s="731"/>
      <c r="Z50" s="731"/>
      <c r="AA50" s="731"/>
      <c r="AQ50" s="731"/>
      <c r="AV50" s="731"/>
      <c r="AZ50" s="731"/>
      <c r="BC50" s="731"/>
    </row>
    <row r="51" spans="3:55" ht="18.75" customHeight="1">
      <c r="C51" s="644">
        <f t="shared" si="5"/>
        <v>16</v>
      </c>
      <c r="D51" s="36"/>
      <c r="E51" s="40" t="s">
        <v>164</v>
      </c>
      <c r="F51" s="28"/>
      <c r="G51" s="28"/>
      <c r="H51" s="43"/>
      <c r="I51" s="38">
        <f>5900000</f>
        <v>5900000</v>
      </c>
      <c r="J51" s="29">
        <f t="shared" si="6"/>
        <v>0</v>
      </c>
      <c r="K51" s="39">
        <f t="shared" si="4"/>
        <v>0</v>
      </c>
      <c r="L51" s="18">
        <f t="shared" si="7"/>
        <v>5900000</v>
      </c>
      <c r="M51" s="638">
        <f t="shared" si="8"/>
        <v>5900000</v>
      </c>
      <c r="N51" s="30" t="s">
        <v>57</v>
      </c>
      <c r="O51" s="12">
        <v>3500000</v>
      </c>
      <c r="P51" s="16"/>
      <c r="Q51" s="6"/>
      <c r="R51" s="743"/>
      <c r="S51" s="742"/>
      <c r="T51" s="743"/>
      <c r="U51" s="742"/>
      <c r="V51" s="742"/>
      <c r="W51" s="742"/>
      <c r="X51" s="731"/>
      <c r="Z51" s="731"/>
      <c r="AA51" s="731"/>
      <c r="AQ51" s="731"/>
      <c r="AV51" s="731"/>
      <c r="AZ51" s="731"/>
      <c r="BC51" s="731"/>
    </row>
    <row r="52" spans="3:55" ht="18.75" customHeight="1">
      <c r="C52" s="644">
        <f t="shared" si="5"/>
        <v>17</v>
      </c>
      <c r="D52" s="36"/>
      <c r="E52" s="40" t="s">
        <v>165</v>
      </c>
      <c r="F52" s="28"/>
      <c r="G52" s="28"/>
      <c r="H52" s="43"/>
      <c r="I52" s="38">
        <f>6100000</f>
        <v>6100000</v>
      </c>
      <c r="J52" s="29">
        <f t="shared" si="6"/>
        <v>0</v>
      </c>
      <c r="K52" s="39">
        <f t="shared" si="4"/>
        <v>0</v>
      </c>
      <c r="L52" s="18">
        <f>I52+J52+K52</f>
        <v>6100000</v>
      </c>
      <c r="M52" s="638">
        <f t="shared" si="8"/>
        <v>6100000</v>
      </c>
      <c r="N52" s="30" t="s">
        <v>57</v>
      </c>
      <c r="O52" s="12">
        <v>3500000</v>
      </c>
      <c r="P52" s="16"/>
      <c r="Q52" s="6"/>
      <c r="R52" s="743"/>
      <c r="S52" s="742"/>
      <c r="T52" s="743"/>
      <c r="U52" s="742"/>
      <c r="V52" s="742"/>
      <c r="W52" s="742"/>
      <c r="X52" s="731"/>
      <c r="Z52" s="731"/>
      <c r="AA52" s="731"/>
      <c r="AQ52" s="731"/>
      <c r="AV52" s="731"/>
      <c r="AZ52" s="731"/>
      <c r="BC52" s="731"/>
    </row>
    <row r="53" spans="3:27" ht="18.75" customHeight="1">
      <c r="C53" s="644">
        <f t="shared" si="5"/>
        <v>18</v>
      </c>
      <c r="D53" s="36"/>
      <c r="E53" s="17" t="s">
        <v>77</v>
      </c>
      <c r="F53" s="28"/>
      <c r="G53" s="28"/>
      <c r="H53" s="43"/>
      <c r="I53" s="38">
        <f>4500</f>
        <v>4500</v>
      </c>
      <c r="J53" s="29">
        <f t="shared" si="6"/>
        <v>0</v>
      </c>
      <c r="K53" s="39">
        <f t="shared" si="4"/>
        <v>0</v>
      </c>
      <c r="L53" s="18">
        <f t="shared" si="7"/>
        <v>4500</v>
      </c>
      <c r="M53" s="638">
        <f t="shared" si="8"/>
        <v>4500</v>
      </c>
      <c r="N53" s="30" t="s">
        <v>78</v>
      </c>
      <c r="O53" s="12"/>
      <c r="P53" s="16"/>
      <c r="Q53" s="6"/>
      <c r="R53" s="743"/>
      <c r="S53" s="742"/>
      <c r="T53" s="743"/>
      <c r="U53" s="742"/>
      <c r="V53" s="742"/>
      <c r="W53" s="742"/>
      <c r="X53" s="731"/>
      <c r="Z53" s="731"/>
      <c r="AA53" s="731"/>
    </row>
    <row r="54" spans="3:55" ht="18.75" customHeight="1">
      <c r="C54" s="644">
        <f t="shared" si="5"/>
        <v>19</v>
      </c>
      <c r="D54" s="36"/>
      <c r="E54" s="17" t="s">
        <v>79</v>
      </c>
      <c r="F54" s="28"/>
      <c r="G54" s="28"/>
      <c r="H54" s="43"/>
      <c r="I54" s="38">
        <f>4750000</f>
        <v>4750000</v>
      </c>
      <c r="J54" s="29">
        <f t="shared" si="6"/>
        <v>0</v>
      </c>
      <c r="K54" s="39">
        <f t="shared" si="4"/>
        <v>0</v>
      </c>
      <c r="L54" s="18">
        <f t="shared" si="7"/>
        <v>4750000</v>
      </c>
      <c r="M54" s="638">
        <f t="shared" si="8"/>
        <v>4750000</v>
      </c>
      <c r="N54" s="30" t="s">
        <v>57</v>
      </c>
      <c r="O54" s="12">
        <v>3750000</v>
      </c>
      <c r="P54" s="16"/>
      <c r="Q54" s="6"/>
      <c r="R54" s="743"/>
      <c r="S54" s="742"/>
      <c r="T54" s="743"/>
      <c r="U54" s="742"/>
      <c r="V54" s="743"/>
      <c r="W54" s="742"/>
      <c r="X54" s="731"/>
      <c r="Z54" s="731"/>
      <c r="AA54" s="731"/>
      <c r="AB54" s="731"/>
      <c r="AQ54" s="731"/>
      <c r="AV54" s="731"/>
      <c r="AZ54" s="731"/>
      <c r="BC54" s="731"/>
    </row>
    <row r="55" spans="3:55" ht="18.75" customHeight="1">
      <c r="C55" s="644">
        <f t="shared" si="5"/>
        <v>20</v>
      </c>
      <c r="D55" s="36"/>
      <c r="E55" s="17" t="s">
        <v>80</v>
      </c>
      <c r="F55" s="28"/>
      <c r="G55" s="28"/>
      <c r="H55" s="43"/>
      <c r="I55" s="38">
        <f>4200000</f>
        <v>4200000</v>
      </c>
      <c r="J55" s="29">
        <f t="shared" si="6"/>
        <v>0</v>
      </c>
      <c r="K55" s="39">
        <f t="shared" si="4"/>
        <v>0</v>
      </c>
      <c r="L55" s="18">
        <f t="shared" si="7"/>
        <v>4200000</v>
      </c>
      <c r="M55" s="638">
        <f t="shared" si="8"/>
        <v>4200000</v>
      </c>
      <c r="N55" s="30" t="s">
        <v>57</v>
      </c>
      <c r="O55" s="12">
        <v>2900000</v>
      </c>
      <c r="P55" s="16"/>
      <c r="Q55" s="6"/>
      <c r="R55" s="743"/>
      <c r="S55" s="742"/>
      <c r="T55" s="742"/>
      <c r="U55" s="742"/>
      <c r="V55" s="742"/>
      <c r="W55" s="742"/>
      <c r="Z55" s="731"/>
      <c r="AA55" s="731"/>
      <c r="AQ55" s="731"/>
      <c r="AV55" s="731"/>
      <c r="AZ55" s="731"/>
      <c r="BC55" s="731"/>
    </row>
    <row r="56" spans="3:55" ht="18.75" customHeight="1">
      <c r="C56" s="644">
        <f t="shared" si="5"/>
        <v>21</v>
      </c>
      <c r="D56" s="36"/>
      <c r="E56" s="41" t="s">
        <v>10</v>
      </c>
      <c r="F56" s="42"/>
      <c r="G56" s="28"/>
      <c r="H56" s="43"/>
      <c r="I56" s="38">
        <f>3000000</f>
        <v>3000000</v>
      </c>
      <c r="J56" s="29">
        <f t="shared" si="6"/>
        <v>0</v>
      </c>
      <c r="K56" s="39">
        <f t="shared" si="4"/>
        <v>0</v>
      </c>
      <c r="L56" s="18">
        <f t="shared" si="7"/>
        <v>3000000</v>
      </c>
      <c r="M56" s="638">
        <f>ROUND(L56/10-0.5,0)*10</f>
        <v>3000000</v>
      </c>
      <c r="N56" s="30" t="s">
        <v>57</v>
      </c>
      <c r="O56" s="12">
        <v>2500000</v>
      </c>
      <c r="P56" s="16"/>
      <c r="Q56" s="6"/>
      <c r="R56" s="743"/>
      <c r="S56" s="742"/>
      <c r="T56" s="742"/>
      <c r="U56" s="742"/>
      <c r="V56" s="742"/>
      <c r="W56" s="742"/>
      <c r="Z56" s="731"/>
      <c r="AA56" s="731"/>
      <c r="AQ56" s="731"/>
      <c r="AV56" s="731"/>
      <c r="AZ56" s="731"/>
      <c r="BC56" s="731"/>
    </row>
    <row r="57" spans="3:55" ht="18.75" customHeight="1">
      <c r="C57" s="644">
        <f t="shared" si="5"/>
        <v>22</v>
      </c>
      <c r="D57" s="36"/>
      <c r="E57" s="41" t="s">
        <v>221</v>
      </c>
      <c r="F57" s="42"/>
      <c r="G57" s="28"/>
      <c r="H57" s="43"/>
      <c r="I57" s="633">
        <f>650000</f>
        <v>650000</v>
      </c>
      <c r="J57" s="29">
        <f t="shared" si="6"/>
        <v>0</v>
      </c>
      <c r="K57" s="39">
        <f aca="true" t="shared" si="9" ref="K57:K102">I57*K$20</f>
        <v>0</v>
      </c>
      <c r="L57" s="18">
        <f t="shared" si="7"/>
        <v>650000</v>
      </c>
      <c r="M57" s="638">
        <f t="shared" si="8"/>
        <v>650000</v>
      </c>
      <c r="N57" s="30" t="s">
        <v>57</v>
      </c>
      <c r="O57" s="20"/>
      <c r="P57" s="16"/>
      <c r="Q57" s="6"/>
      <c r="R57" s="743"/>
      <c r="S57" s="742"/>
      <c r="T57" s="742"/>
      <c r="U57" s="742"/>
      <c r="V57" s="742"/>
      <c r="W57" s="742"/>
      <c r="Z57" s="731"/>
      <c r="AA57" s="731"/>
      <c r="AQ57" s="731"/>
      <c r="AV57" s="731"/>
      <c r="AZ57" s="731"/>
      <c r="BC57" s="731"/>
    </row>
    <row r="58" spans="3:27" ht="18.75" customHeight="1">
      <c r="C58" s="644">
        <f t="shared" si="5"/>
        <v>23</v>
      </c>
      <c r="D58" s="36"/>
      <c r="E58" s="17" t="s">
        <v>220</v>
      </c>
      <c r="F58" s="28"/>
      <c r="G58" s="28"/>
      <c r="H58" s="43"/>
      <c r="I58" s="633">
        <f>1200000</f>
        <v>1200000</v>
      </c>
      <c r="J58" s="29">
        <f t="shared" si="6"/>
        <v>0</v>
      </c>
      <c r="K58" s="39">
        <f t="shared" si="9"/>
        <v>0</v>
      </c>
      <c r="L58" s="18">
        <f t="shared" si="7"/>
        <v>1200000</v>
      </c>
      <c r="M58" s="638">
        <f t="shared" si="8"/>
        <v>1200000</v>
      </c>
      <c r="N58" s="30" t="s">
        <v>57</v>
      </c>
      <c r="O58" s="20"/>
      <c r="P58" s="16"/>
      <c r="Q58" s="6"/>
      <c r="R58" s="743"/>
      <c r="S58" s="742"/>
      <c r="T58" s="742"/>
      <c r="U58" s="742"/>
      <c r="V58" s="742"/>
      <c r="W58" s="742"/>
      <c r="X58" s="731"/>
      <c r="Z58" s="731"/>
      <c r="AA58" s="731"/>
    </row>
    <row r="59" spans="3:27" ht="18.75" customHeight="1">
      <c r="C59" s="644">
        <f t="shared" si="5"/>
        <v>24</v>
      </c>
      <c r="D59" s="36"/>
      <c r="E59" s="17" t="s">
        <v>175</v>
      </c>
      <c r="F59" s="28"/>
      <c r="G59" s="28"/>
      <c r="H59" s="43"/>
      <c r="I59" s="633">
        <f>20000</f>
        <v>20000</v>
      </c>
      <c r="J59" s="29">
        <f t="shared" si="6"/>
        <v>0</v>
      </c>
      <c r="K59" s="39">
        <f t="shared" si="9"/>
        <v>0</v>
      </c>
      <c r="L59" s="18">
        <f t="shared" si="7"/>
        <v>20000</v>
      </c>
      <c r="M59" s="638">
        <f t="shared" si="8"/>
        <v>20000</v>
      </c>
      <c r="N59" s="30" t="s">
        <v>78</v>
      </c>
      <c r="O59" s="20"/>
      <c r="P59" s="16"/>
      <c r="Q59" s="6"/>
      <c r="R59" s="743"/>
      <c r="S59" s="742"/>
      <c r="T59" s="742"/>
      <c r="U59" s="742"/>
      <c r="V59" s="742"/>
      <c r="W59" s="742"/>
      <c r="X59" s="731"/>
      <c r="Z59" s="731"/>
      <c r="AA59" s="731"/>
    </row>
    <row r="60" spans="3:27" ht="18.75" customHeight="1">
      <c r="C60" s="644">
        <f t="shared" si="5"/>
        <v>25</v>
      </c>
      <c r="D60" s="36"/>
      <c r="E60" s="17" t="s">
        <v>233</v>
      </c>
      <c r="F60" s="28"/>
      <c r="G60" s="28"/>
      <c r="H60" s="43"/>
      <c r="I60" s="38">
        <f>4500</f>
        <v>4500</v>
      </c>
      <c r="J60" s="29">
        <f t="shared" si="6"/>
        <v>0</v>
      </c>
      <c r="K60" s="39">
        <f>I60*K$20</f>
        <v>0</v>
      </c>
      <c r="L60" s="18">
        <f>I60+J60+K60</f>
        <v>4500</v>
      </c>
      <c r="M60" s="638">
        <f t="shared" si="8"/>
        <v>4500</v>
      </c>
      <c r="N60" s="30" t="s">
        <v>78</v>
      </c>
      <c r="O60" s="20">
        <v>20000</v>
      </c>
      <c r="P60" s="16"/>
      <c r="Q60" s="6"/>
      <c r="R60" s="743"/>
      <c r="S60" s="742"/>
      <c r="T60" s="742"/>
      <c r="U60" s="742"/>
      <c r="V60" s="742"/>
      <c r="W60" s="742"/>
      <c r="X60" s="731"/>
      <c r="Z60" s="731"/>
      <c r="AA60" s="731"/>
    </row>
    <row r="61" spans="3:27" ht="18.75" customHeight="1">
      <c r="C61" s="644">
        <f t="shared" si="5"/>
        <v>26</v>
      </c>
      <c r="D61" s="36"/>
      <c r="E61" s="17" t="s">
        <v>235</v>
      </c>
      <c r="F61" s="28"/>
      <c r="G61" s="28"/>
      <c r="H61" s="43"/>
      <c r="I61" s="38">
        <f>750000</f>
        <v>750000</v>
      </c>
      <c r="J61" s="29">
        <f t="shared" si="6"/>
        <v>0</v>
      </c>
      <c r="K61" s="39">
        <f aca="true" t="shared" si="10" ref="K61:K67">I61*K$20</f>
        <v>0</v>
      </c>
      <c r="L61" s="18">
        <f>I61+J61+K61</f>
        <v>750000</v>
      </c>
      <c r="M61" s="638">
        <f t="shared" si="8"/>
        <v>750000</v>
      </c>
      <c r="N61" s="30" t="s">
        <v>168</v>
      </c>
      <c r="O61" s="20">
        <v>1250000</v>
      </c>
      <c r="P61" s="16"/>
      <c r="Q61" s="6"/>
      <c r="R61" s="743"/>
      <c r="S61" s="742"/>
      <c r="T61" s="742"/>
      <c r="U61" s="742"/>
      <c r="V61" s="742"/>
      <c r="W61" s="742"/>
      <c r="X61" s="731"/>
      <c r="Z61" s="731"/>
      <c r="AA61" s="731"/>
    </row>
    <row r="62" spans="3:27" ht="18.75" customHeight="1">
      <c r="C62" s="644">
        <f t="shared" si="5"/>
        <v>27</v>
      </c>
      <c r="D62" s="36"/>
      <c r="E62" s="17" t="s">
        <v>234</v>
      </c>
      <c r="F62" s="28"/>
      <c r="G62" s="28"/>
      <c r="H62" s="43"/>
      <c r="I62" s="38">
        <f>710000</f>
        <v>710000</v>
      </c>
      <c r="J62" s="29">
        <f t="shared" si="6"/>
        <v>0</v>
      </c>
      <c r="K62" s="39">
        <f t="shared" si="10"/>
        <v>0</v>
      </c>
      <c r="L62" s="18">
        <f>I62+J62+K62</f>
        <v>710000</v>
      </c>
      <c r="M62" s="637">
        <f t="shared" si="8"/>
        <v>710000</v>
      </c>
      <c r="N62" s="30" t="s">
        <v>168</v>
      </c>
      <c r="O62" s="20">
        <v>825000</v>
      </c>
      <c r="P62" s="16"/>
      <c r="Q62" s="6"/>
      <c r="R62" s="743"/>
      <c r="S62" s="742"/>
      <c r="T62" s="742"/>
      <c r="U62" s="742"/>
      <c r="V62" s="742"/>
      <c r="W62" s="742"/>
      <c r="X62" s="731"/>
      <c r="Z62" s="731"/>
      <c r="AA62" s="731"/>
    </row>
    <row r="63" spans="3:58" ht="18.75" customHeight="1">
      <c r="C63" s="644">
        <f t="shared" si="5"/>
        <v>28</v>
      </c>
      <c r="D63" s="36"/>
      <c r="E63" s="17" t="s">
        <v>81</v>
      </c>
      <c r="F63" s="28"/>
      <c r="G63" s="28"/>
      <c r="H63" s="43"/>
      <c r="I63" s="633">
        <f>3500</f>
        <v>3500</v>
      </c>
      <c r="J63" s="29">
        <f t="shared" si="6"/>
        <v>0</v>
      </c>
      <c r="K63" s="39">
        <f t="shared" si="10"/>
        <v>0</v>
      </c>
      <c r="L63" s="18">
        <f t="shared" si="7"/>
        <v>3500</v>
      </c>
      <c r="M63" s="637">
        <f t="shared" si="8"/>
        <v>3500</v>
      </c>
      <c r="N63" s="30" t="s">
        <v>82</v>
      </c>
      <c r="O63" s="20"/>
      <c r="P63" s="16"/>
      <c r="Q63" s="6"/>
      <c r="R63" s="743"/>
      <c r="S63" s="742"/>
      <c r="T63" s="743"/>
      <c r="U63" s="742"/>
      <c r="V63" s="742"/>
      <c r="W63" s="742"/>
      <c r="X63" s="731"/>
      <c r="Z63" s="731"/>
      <c r="AA63" s="731"/>
      <c r="AQ63" s="731"/>
      <c r="AV63" s="731"/>
      <c r="AZ63" s="731"/>
      <c r="BC63" s="731"/>
      <c r="BF63" s="731"/>
    </row>
    <row r="64" spans="3:58" ht="18.75" customHeight="1">
      <c r="C64" s="644">
        <f t="shared" si="5"/>
        <v>29</v>
      </c>
      <c r="D64" s="36"/>
      <c r="E64" s="17" t="s">
        <v>83</v>
      </c>
      <c r="F64" s="28"/>
      <c r="G64" s="28"/>
      <c r="H64" s="43"/>
      <c r="I64" s="633">
        <f>10000</f>
        <v>10000</v>
      </c>
      <c r="J64" s="29">
        <f t="shared" si="6"/>
        <v>0</v>
      </c>
      <c r="K64" s="39">
        <f t="shared" si="10"/>
        <v>0</v>
      </c>
      <c r="L64" s="18">
        <f t="shared" si="7"/>
        <v>10000</v>
      </c>
      <c r="M64" s="637">
        <f t="shared" si="8"/>
        <v>10000</v>
      </c>
      <c r="N64" s="30" t="s">
        <v>82</v>
      </c>
      <c r="O64" s="21"/>
      <c r="P64" s="16"/>
      <c r="Q64" s="6"/>
      <c r="R64" s="743"/>
      <c r="S64" s="742"/>
      <c r="T64" s="743"/>
      <c r="U64" s="742"/>
      <c r="V64" s="742"/>
      <c r="W64" s="742"/>
      <c r="X64" s="731"/>
      <c r="Z64" s="731"/>
      <c r="AA64" s="731"/>
      <c r="AQ64" s="731"/>
      <c r="AV64" s="731"/>
      <c r="BC64" s="731"/>
      <c r="BF64" s="731"/>
    </row>
    <row r="65" spans="3:58" ht="18.75" customHeight="1">
      <c r="C65" s="644">
        <f t="shared" si="5"/>
        <v>30</v>
      </c>
      <c r="D65" s="36"/>
      <c r="E65" s="17" t="s">
        <v>222</v>
      </c>
      <c r="F65" s="28"/>
      <c r="G65" s="28"/>
      <c r="H65" s="43"/>
      <c r="I65" s="51">
        <f>7000</f>
        <v>7000</v>
      </c>
      <c r="J65" s="29">
        <f t="shared" si="6"/>
        <v>0</v>
      </c>
      <c r="K65" s="39">
        <f t="shared" si="10"/>
        <v>0</v>
      </c>
      <c r="L65" s="18">
        <f t="shared" si="7"/>
        <v>7000</v>
      </c>
      <c r="M65" s="637">
        <f>ROUND(L65/10-0.5,0)*10</f>
        <v>7000</v>
      </c>
      <c r="N65" s="30" t="s">
        <v>78</v>
      </c>
      <c r="O65" s="21">
        <v>6500</v>
      </c>
      <c r="P65" s="16"/>
      <c r="Q65" s="6"/>
      <c r="R65" s="743"/>
      <c r="S65" s="742"/>
      <c r="T65" s="743"/>
      <c r="U65" s="742"/>
      <c r="V65" s="742"/>
      <c r="W65" s="742"/>
      <c r="X65" s="731"/>
      <c r="Z65" s="731"/>
      <c r="AA65" s="731"/>
      <c r="AQ65" s="731"/>
      <c r="AV65" s="731"/>
      <c r="BC65" s="731"/>
      <c r="BF65" s="731"/>
    </row>
    <row r="66" spans="3:58" ht="18.75" customHeight="1">
      <c r="C66" s="644">
        <f t="shared" si="5"/>
        <v>31</v>
      </c>
      <c r="D66" s="36"/>
      <c r="E66" s="17" t="s">
        <v>173</v>
      </c>
      <c r="F66" s="28"/>
      <c r="G66" s="28"/>
      <c r="H66" s="43"/>
      <c r="I66" s="51">
        <f>18000</f>
        <v>18000</v>
      </c>
      <c r="J66" s="29">
        <f>I66*J$20</f>
        <v>0</v>
      </c>
      <c r="K66" s="39">
        <f t="shared" si="10"/>
        <v>0</v>
      </c>
      <c r="L66" s="18">
        <f>I66+J66+K66</f>
        <v>18000</v>
      </c>
      <c r="M66" s="637">
        <f>ROUND(L66/10-0.5,0)*10</f>
        <v>18000</v>
      </c>
      <c r="N66" s="30" t="s">
        <v>237</v>
      </c>
      <c r="O66" s="21">
        <v>15000</v>
      </c>
      <c r="P66" s="16"/>
      <c r="Q66" s="6"/>
      <c r="R66" s="743"/>
      <c r="S66" s="742"/>
      <c r="T66" s="743"/>
      <c r="U66" s="742"/>
      <c r="V66" s="742"/>
      <c r="W66" s="742"/>
      <c r="X66" s="731"/>
      <c r="Z66" s="731"/>
      <c r="AA66" s="731"/>
      <c r="AQ66" s="731"/>
      <c r="AV66" s="731"/>
      <c r="BC66" s="731"/>
      <c r="BF66" s="731"/>
    </row>
    <row r="67" spans="3:58" ht="18.75" customHeight="1">
      <c r="C67" s="644">
        <f t="shared" si="5"/>
        <v>32</v>
      </c>
      <c r="D67" s="36"/>
      <c r="E67" s="17" t="s">
        <v>181</v>
      </c>
      <c r="F67" s="28"/>
      <c r="G67" s="28"/>
      <c r="H67" s="43"/>
      <c r="I67" s="633">
        <f>300000</f>
        <v>300000</v>
      </c>
      <c r="J67" s="29">
        <f t="shared" si="6"/>
        <v>0</v>
      </c>
      <c r="K67" s="39">
        <f t="shared" si="10"/>
        <v>0</v>
      </c>
      <c r="L67" s="18">
        <f t="shared" si="7"/>
        <v>300000</v>
      </c>
      <c r="M67" s="637">
        <f t="shared" si="8"/>
        <v>300000</v>
      </c>
      <c r="N67" s="30" t="s">
        <v>0</v>
      </c>
      <c r="O67" s="21"/>
      <c r="P67" s="16"/>
      <c r="Q67" s="6"/>
      <c r="R67" s="743"/>
      <c r="S67" s="742"/>
      <c r="T67" s="743"/>
      <c r="U67" s="742"/>
      <c r="V67" s="742"/>
      <c r="W67" s="742"/>
      <c r="X67" s="731"/>
      <c r="Z67" s="731"/>
      <c r="AA67" s="731"/>
      <c r="AQ67" s="731"/>
      <c r="AV67" s="731"/>
      <c r="BC67" s="731"/>
      <c r="BF67" s="731"/>
    </row>
    <row r="68" spans="3:58" ht="18.75" customHeight="1">
      <c r="C68" s="644">
        <f t="shared" si="5"/>
        <v>33</v>
      </c>
      <c r="D68" s="36"/>
      <c r="E68" s="28" t="s">
        <v>39</v>
      </c>
      <c r="F68" s="28"/>
      <c r="G68" s="28"/>
      <c r="H68" s="43"/>
      <c r="I68" s="633">
        <f>750000</f>
        <v>750000</v>
      </c>
      <c r="J68" s="29">
        <f t="shared" si="6"/>
        <v>0</v>
      </c>
      <c r="K68" s="39">
        <f t="shared" si="9"/>
        <v>0</v>
      </c>
      <c r="L68" s="18">
        <f t="shared" si="7"/>
        <v>750000</v>
      </c>
      <c r="M68" s="637">
        <f t="shared" si="8"/>
        <v>750000</v>
      </c>
      <c r="N68" s="30" t="s">
        <v>210</v>
      </c>
      <c r="O68" s="21"/>
      <c r="P68" s="16"/>
      <c r="Q68" s="6"/>
      <c r="R68" s="743"/>
      <c r="S68" s="742"/>
      <c r="T68" s="743"/>
      <c r="U68" s="742"/>
      <c r="V68" s="742"/>
      <c r="W68" s="742"/>
      <c r="X68" s="731"/>
      <c r="Z68" s="731"/>
      <c r="AA68" s="731"/>
      <c r="AQ68" s="731"/>
      <c r="AV68" s="731"/>
      <c r="BC68" s="731"/>
      <c r="BF68" s="731"/>
    </row>
    <row r="69" spans="3:58" ht="18.75" customHeight="1">
      <c r="C69" s="644">
        <f t="shared" si="5"/>
        <v>34</v>
      </c>
      <c r="D69" s="27" t="e">
        <f>#REF!+1</f>
        <v>#REF!</v>
      </c>
      <c r="E69" s="28" t="s">
        <v>38</v>
      </c>
      <c r="F69" s="28"/>
      <c r="G69" s="28"/>
      <c r="H69" s="43"/>
      <c r="I69" s="633">
        <f>450000</f>
        <v>450000</v>
      </c>
      <c r="J69" s="29">
        <f t="shared" si="6"/>
        <v>0</v>
      </c>
      <c r="K69" s="39">
        <f t="shared" si="9"/>
        <v>0</v>
      </c>
      <c r="L69" s="18">
        <f t="shared" si="7"/>
        <v>450000</v>
      </c>
      <c r="M69" s="637">
        <f t="shared" si="8"/>
        <v>450000</v>
      </c>
      <c r="N69" s="30" t="s">
        <v>210</v>
      </c>
      <c r="O69" s="21"/>
      <c r="P69" s="16"/>
      <c r="Q69" s="6"/>
      <c r="R69" s="743"/>
      <c r="S69" s="742"/>
      <c r="T69" s="743"/>
      <c r="U69" s="742"/>
      <c r="V69" s="742"/>
      <c r="W69" s="742"/>
      <c r="X69" s="731"/>
      <c r="Z69" s="731"/>
      <c r="AA69" s="731"/>
      <c r="AQ69" s="731"/>
      <c r="AV69" s="731"/>
      <c r="BC69" s="731"/>
      <c r="BF69" s="731"/>
    </row>
    <row r="70" spans="3:58" ht="18.75" customHeight="1">
      <c r="C70" s="644">
        <f t="shared" si="5"/>
        <v>35</v>
      </c>
      <c r="D70" s="27"/>
      <c r="E70" s="28" t="s">
        <v>268</v>
      </c>
      <c r="F70" s="28"/>
      <c r="G70" s="28"/>
      <c r="H70" s="43"/>
      <c r="I70" s="633">
        <f>300000</f>
        <v>300000</v>
      </c>
      <c r="J70" s="29">
        <f t="shared" si="6"/>
        <v>0</v>
      </c>
      <c r="K70" s="39">
        <f t="shared" si="9"/>
        <v>0</v>
      </c>
      <c r="L70" s="18">
        <f t="shared" si="7"/>
        <v>300000</v>
      </c>
      <c r="M70" s="637">
        <f t="shared" si="8"/>
        <v>300000</v>
      </c>
      <c r="N70" s="30" t="s">
        <v>210</v>
      </c>
      <c r="O70" s="21"/>
      <c r="P70" s="16"/>
      <c r="Q70" s="6"/>
      <c r="R70" s="743"/>
      <c r="S70" s="742"/>
      <c r="T70" s="743"/>
      <c r="U70" s="742"/>
      <c r="V70" s="742"/>
      <c r="W70" s="742"/>
      <c r="X70" s="731"/>
      <c r="Z70" s="731"/>
      <c r="AA70" s="731"/>
      <c r="AQ70" s="731"/>
      <c r="AV70" s="731"/>
      <c r="BC70" s="731"/>
      <c r="BF70" s="731"/>
    </row>
    <row r="71" spans="3:58" ht="18.75" customHeight="1">
      <c r="C71" s="644">
        <f t="shared" si="5"/>
        <v>36</v>
      </c>
      <c r="D71" s="27" t="e">
        <f>#REF!+1</f>
        <v>#REF!</v>
      </c>
      <c r="E71" s="28" t="s">
        <v>182</v>
      </c>
      <c r="F71" s="28"/>
      <c r="G71" s="28"/>
      <c r="H71" s="43"/>
      <c r="I71" s="633">
        <f>200000</f>
        <v>200000</v>
      </c>
      <c r="J71" s="29">
        <f t="shared" si="6"/>
        <v>0</v>
      </c>
      <c r="K71" s="39">
        <f t="shared" si="9"/>
        <v>0</v>
      </c>
      <c r="L71" s="18">
        <f t="shared" si="7"/>
        <v>200000</v>
      </c>
      <c r="M71" s="637">
        <f t="shared" si="8"/>
        <v>200000</v>
      </c>
      <c r="N71" s="30" t="s">
        <v>82</v>
      </c>
      <c r="O71" s="21"/>
      <c r="P71" s="16"/>
      <c r="Q71" s="6"/>
      <c r="R71" s="743"/>
      <c r="S71" s="742"/>
      <c r="T71" s="743"/>
      <c r="U71" s="742"/>
      <c r="V71" s="742"/>
      <c r="W71" s="742"/>
      <c r="X71" s="731"/>
      <c r="Z71" s="731"/>
      <c r="AA71" s="731"/>
      <c r="AQ71" s="731"/>
      <c r="AV71" s="731"/>
      <c r="BC71" s="731"/>
      <c r="BF71" s="731"/>
    </row>
    <row r="72" spans="3:58" ht="18.75" customHeight="1">
      <c r="C72" s="644">
        <f t="shared" si="5"/>
        <v>37</v>
      </c>
      <c r="D72" s="27"/>
      <c r="E72" s="28" t="s">
        <v>36</v>
      </c>
      <c r="F72" s="28"/>
      <c r="G72" s="28"/>
      <c r="H72" s="43"/>
      <c r="I72" s="633">
        <v>55000</v>
      </c>
      <c r="J72" s="29">
        <f t="shared" si="6"/>
        <v>0</v>
      </c>
      <c r="K72" s="39">
        <f t="shared" si="9"/>
        <v>0</v>
      </c>
      <c r="L72" s="18">
        <f t="shared" si="7"/>
        <v>55000</v>
      </c>
      <c r="M72" s="637">
        <f t="shared" si="8"/>
        <v>55000</v>
      </c>
      <c r="N72" s="30" t="s">
        <v>82</v>
      </c>
      <c r="O72" s="21"/>
      <c r="P72" s="16"/>
      <c r="Q72" s="6"/>
      <c r="R72" s="743"/>
      <c r="S72" s="742"/>
      <c r="T72" s="743"/>
      <c r="U72" s="742"/>
      <c r="V72" s="742"/>
      <c r="W72" s="742"/>
      <c r="X72" s="731"/>
      <c r="Z72" s="731"/>
      <c r="AA72" s="731"/>
      <c r="AQ72" s="731"/>
      <c r="AV72" s="731"/>
      <c r="BC72" s="731"/>
      <c r="BF72" s="731"/>
    </row>
    <row r="73" spans="3:58" ht="18.75" customHeight="1">
      <c r="C73" s="644">
        <f t="shared" si="5"/>
        <v>38</v>
      </c>
      <c r="D73" s="27"/>
      <c r="E73" s="28" t="s">
        <v>37</v>
      </c>
      <c r="F73" s="28"/>
      <c r="G73" s="28"/>
      <c r="H73" s="43"/>
      <c r="I73" s="633">
        <v>45000</v>
      </c>
      <c r="J73" s="29">
        <f t="shared" si="6"/>
        <v>0</v>
      </c>
      <c r="K73" s="39">
        <f t="shared" si="9"/>
        <v>0</v>
      </c>
      <c r="L73" s="18">
        <f t="shared" si="7"/>
        <v>45000</v>
      </c>
      <c r="M73" s="637">
        <f t="shared" si="8"/>
        <v>45000</v>
      </c>
      <c r="N73" s="30" t="s">
        <v>82</v>
      </c>
      <c r="O73" s="21"/>
      <c r="P73" s="16"/>
      <c r="Q73" s="6"/>
      <c r="R73" s="743"/>
      <c r="S73" s="742"/>
      <c r="T73" s="743"/>
      <c r="U73" s="742"/>
      <c r="V73" s="742"/>
      <c r="W73" s="742"/>
      <c r="X73" s="731"/>
      <c r="Z73" s="731"/>
      <c r="AA73" s="731"/>
      <c r="AQ73" s="731"/>
      <c r="AV73" s="731"/>
      <c r="BC73" s="731"/>
      <c r="BF73" s="731"/>
    </row>
    <row r="74" spans="3:58" ht="18.75" customHeight="1">
      <c r="C74" s="644">
        <f t="shared" si="5"/>
        <v>39</v>
      </c>
      <c r="D74" s="27"/>
      <c r="E74" s="17" t="s">
        <v>180</v>
      </c>
      <c r="F74" s="28"/>
      <c r="G74" s="28"/>
      <c r="H74" s="43"/>
      <c r="I74" s="633">
        <v>50000</v>
      </c>
      <c r="J74" s="29">
        <f t="shared" si="6"/>
        <v>0</v>
      </c>
      <c r="K74" s="39">
        <f t="shared" si="9"/>
        <v>0</v>
      </c>
      <c r="L74" s="18">
        <f t="shared" si="7"/>
        <v>50000</v>
      </c>
      <c r="M74" s="637">
        <f t="shared" si="8"/>
        <v>50000</v>
      </c>
      <c r="N74" s="30" t="s">
        <v>82</v>
      </c>
      <c r="O74" s="21"/>
      <c r="P74" s="16"/>
      <c r="Q74" s="6"/>
      <c r="R74" s="743"/>
      <c r="S74" s="742"/>
      <c r="T74" s="743"/>
      <c r="U74" s="742"/>
      <c r="V74" s="742"/>
      <c r="W74" s="742"/>
      <c r="X74" s="731"/>
      <c r="Z74" s="731"/>
      <c r="AA74" s="731"/>
      <c r="AQ74" s="731"/>
      <c r="AV74" s="731"/>
      <c r="BC74" s="731"/>
      <c r="BF74" s="731"/>
    </row>
    <row r="75" spans="3:58" ht="18.75" customHeight="1">
      <c r="C75" s="644">
        <f t="shared" si="5"/>
        <v>40</v>
      </c>
      <c r="D75" s="27"/>
      <c r="E75" s="17" t="s">
        <v>460</v>
      </c>
      <c r="F75" s="28"/>
      <c r="G75" s="28"/>
      <c r="H75" s="43"/>
      <c r="I75" s="633">
        <v>100000</v>
      </c>
      <c r="J75" s="29">
        <f t="shared" si="6"/>
        <v>0</v>
      </c>
      <c r="K75" s="39">
        <f t="shared" si="9"/>
        <v>0</v>
      </c>
      <c r="L75" s="18">
        <f>I75+J75+K75</f>
        <v>100000</v>
      </c>
      <c r="M75" s="637">
        <f t="shared" si="8"/>
        <v>100000</v>
      </c>
      <c r="N75" s="30" t="s">
        <v>75</v>
      </c>
      <c r="O75" s="21"/>
      <c r="P75" s="16"/>
      <c r="Q75" s="6"/>
      <c r="R75" s="743"/>
      <c r="S75" s="742"/>
      <c r="T75" s="743"/>
      <c r="U75" s="742"/>
      <c r="V75" s="742"/>
      <c r="W75" s="742"/>
      <c r="X75" s="731"/>
      <c r="Z75" s="731"/>
      <c r="AA75" s="731"/>
      <c r="AQ75" s="731"/>
      <c r="AV75" s="731"/>
      <c r="BC75" s="731"/>
      <c r="BF75" s="731"/>
    </row>
    <row r="76" spans="3:58" ht="18.75" customHeight="1">
      <c r="C76" s="644">
        <f t="shared" si="5"/>
        <v>41</v>
      </c>
      <c r="D76" s="27" t="e">
        <f>#REF!+1</f>
        <v>#REF!</v>
      </c>
      <c r="E76" s="17" t="s">
        <v>74</v>
      </c>
      <c r="F76" s="28"/>
      <c r="G76" s="28" t="s">
        <v>206</v>
      </c>
      <c r="H76" s="43"/>
      <c r="I76" s="38">
        <v>55000</v>
      </c>
      <c r="J76" s="29">
        <f t="shared" si="6"/>
        <v>0</v>
      </c>
      <c r="K76" s="39">
        <f aca="true" t="shared" si="11" ref="K76:K82">I76*K$20</f>
        <v>0</v>
      </c>
      <c r="L76" s="18">
        <f t="shared" si="7"/>
        <v>55000</v>
      </c>
      <c r="M76" s="637">
        <f t="shared" si="8"/>
        <v>55000</v>
      </c>
      <c r="N76" s="30" t="s">
        <v>75</v>
      </c>
      <c r="O76" s="21"/>
      <c r="P76" s="16"/>
      <c r="Q76" s="6"/>
      <c r="R76" s="743"/>
      <c r="S76" s="742"/>
      <c r="T76" s="743"/>
      <c r="U76" s="742"/>
      <c r="V76" s="742"/>
      <c r="W76" s="742"/>
      <c r="X76" s="731"/>
      <c r="Z76" s="731"/>
      <c r="AA76" s="731"/>
      <c r="AQ76" s="731"/>
      <c r="AV76" s="731"/>
      <c r="BC76" s="731"/>
      <c r="BF76" s="731"/>
    </row>
    <row r="77" spans="3:58" ht="18.75" customHeight="1">
      <c r="C77" s="644">
        <f t="shared" si="5"/>
        <v>42</v>
      </c>
      <c r="D77" s="27"/>
      <c r="E77" s="17" t="s">
        <v>248</v>
      </c>
      <c r="F77" s="28"/>
      <c r="G77" s="28" t="s">
        <v>206</v>
      </c>
      <c r="H77" s="43"/>
      <c r="I77" s="38">
        <v>200000</v>
      </c>
      <c r="J77" s="29">
        <f t="shared" si="6"/>
        <v>0</v>
      </c>
      <c r="K77" s="39">
        <f t="shared" si="11"/>
        <v>0</v>
      </c>
      <c r="L77" s="18">
        <f>I77+J77+K77</f>
        <v>200000</v>
      </c>
      <c r="M77" s="637">
        <f t="shared" si="8"/>
        <v>200000</v>
      </c>
      <c r="N77" s="30" t="s">
        <v>75</v>
      </c>
      <c r="O77" s="21"/>
      <c r="P77" s="16"/>
      <c r="Q77" s="6"/>
      <c r="R77" s="743"/>
      <c r="S77" s="742"/>
      <c r="T77" s="743"/>
      <c r="U77" s="742"/>
      <c r="V77" s="742"/>
      <c r="W77" s="742"/>
      <c r="X77" s="731"/>
      <c r="Z77" s="731"/>
      <c r="AA77" s="731"/>
      <c r="AQ77" s="731"/>
      <c r="AV77" s="731"/>
      <c r="BC77" s="731"/>
      <c r="BF77" s="731"/>
    </row>
    <row r="78" spans="3:58" ht="18.75" customHeight="1">
      <c r="C78" s="644">
        <f t="shared" si="5"/>
        <v>43</v>
      </c>
      <c r="D78" s="27"/>
      <c r="E78" s="17" t="s">
        <v>240</v>
      </c>
      <c r="F78" s="28"/>
      <c r="G78" s="28"/>
      <c r="H78" s="43"/>
      <c r="I78" s="38">
        <v>65000</v>
      </c>
      <c r="J78" s="29">
        <f t="shared" si="6"/>
        <v>0</v>
      </c>
      <c r="K78" s="39">
        <f t="shared" si="11"/>
        <v>0</v>
      </c>
      <c r="L78" s="18">
        <f>I78+J78+K78</f>
        <v>65000</v>
      </c>
      <c r="M78" s="637">
        <f t="shared" si="8"/>
        <v>65000</v>
      </c>
      <c r="N78" s="30" t="s">
        <v>75</v>
      </c>
      <c r="O78" s="21"/>
      <c r="P78" s="16"/>
      <c r="Q78" s="6"/>
      <c r="R78" s="743"/>
      <c r="S78" s="742"/>
      <c r="T78" s="743"/>
      <c r="U78" s="742"/>
      <c r="V78" s="742"/>
      <c r="W78" s="742"/>
      <c r="X78" s="731"/>
      <c r="Z78" s="731"/>
      <c r="AA78" s="731"/>
      <c r="AQ78" s="731"/>
      <c r="AV78" s="731"/>
      <c r="BC78" s="731"/>
      <c r="BF78" s="731"/>
    </row>
    <row r="79" spans="3:58" ht="18.75" customHeight="1">
      <c r="C79" s="644">
        <f t="shared" si="5"/>
        <v>44</v>
      </c>
      <c r="D79" s="27"/>
      <c r="E79" s="17" t="s">
        <v>937</v>
      </c>
      <c r="F79" s="28"/>
      <c r="G79" s="28"/>
      <c r="H79" s="43"/>
      <c r="I79" s="38">
        <v>285000</v>
      </c>
      <c r="J79" s="29">
        <f t="shared" si="6"/>
        <v>0</v>
      </c>
      <c r="K79" s="39">
        <f>I79*K$20</f>
        <v>0</v>
      </c>
      <c r="L79" s="18">
        <f>I79+J79+K79</f>
        <v>285000</v>
      </c>
      <c r="M79" s="637">
        <f t="shared" si="8"/>
        <v>285000</v>
      </c>
      <c r="N79" s="30" t="s">
        <v>75</v>
      </c>
      <c r="O79" s="21"/>
      <c r="P79" s="16"/>
      <c r="Q79" s="6"/>
      <c r="R79" s="743"/>
      <c r="S79" s="742"/>
      <c r="T79" s="743"/>
      <c r="U79" s="742"/>
      <c r="V79" s="742"/>
      <c r="W79" s="742"/>
      <c r="X79" s="731"/>
      <c r="Z79" s="731"/>
      <c r="AA79" s="731"/>
      <c r="AQ79" s="731"/>
      <c r="AV79" s="731"/>
      <c r="BC79" s="731"/>
      <c r="BF79" s="731"/>
    </row>
    <row r="80" spans="3:58" ht="18.75" customHeight="1">
      <c r="C80" s="644">
        <f t="shared" si="5"/>
        <v>45</v>
      </c>
      <c r="D80" s="27" t="e">
        <f>D76+1</f>
        <v>#REF!</v>
      </c>
      <c r="E80" s="17" t="s">
        <v>76</v>
      </c>
      <c r="F80" s="28"/>
      <c r="G80" s="28" t="s">
        <v>206</v>
      </c>
      <c r="H80" s="43"/>
      <c r="I80" s="38">
        <v>85000</v>
      </c>
      <c r="J80" s="29">
        <f t="shared" si="6"/>
        <v>0</v>
      </c>
      <c r="K80" s="39">
        <f t="shared" si="11"/>
        <v>0</v>
      </c>
      <c r="L80" s="18">
        <f t="shared" si="7"/>
        <v>85000</v>
      </c>
      <c r="M80" s="637">
        <f t="shared" si="8"/>
        <v>85000</v>
      </c>
      <c r="N80" s="30" t="s">
        <v>75</v>
      </c>
      <c r="O80" s="21">
        <v>85000</v>
      </c>
      <c r="P80" s="16"/>
      <c r="Q80" s="6"/>
      <c r="R80" s="743"/>
      <c r="S80" s="742"/>
      <c r="T80" s="743"/>
      <c r="U80" s="742"/>
      <c r="V80" s="742"/>
      <c r="W80" s="742"/>
      <c r="X80" s="731"/>
      <c r="Z80" s="731"/>
      <c r="AA80" s="731"/>
      <c r="AQ80" s="731"/>
      <c r="AV80" s="731"/>
      <c r="BC80" s="731"/>
      <c r="BF80" s="731"/>
    </row>
    <row r="81" spans="3:58" ht="18.75" customHeight="1">
      <c r="C81" s="644">
        <f t="shared" si="5"/>
        <v>46</v>
      </c>
      <c r="D81" s="27"/>
      <c r="E81" s="17" t="s">
        <v>245</v>
      </c>
      <c r="F81" s="28"/>
      <c r="G81" s="28" t="s">
        <v>206</v>
      </c>
      <c r="H81" s="43"/>
      <c r="I81" s="38">
        <v>90000</v>
      </c>
      <c r="J81" s="29"/>
      <c r="K81" s="39">
        <f t="shared" si="11"/>
        <v>0</v>
      </c>
      <c r="L81" s="18">
        <f t="shared" si="7"/>
        <v>90000</v>
      </c>
      <c r="M81" s="637">
        <f t="shared" si="8"/>
        <v>90000</v>
      </c>
      <c r="N81" s="30" t="s">
        <v>75</v>
      </c>
      <c r="O81" s="21"/>
      <c r="P81" s="16"/>
      <c r="Q81" s="6"/>
      <c r="R81" s="743"/>
      <c r="S81" s="742"/>
      <c r="T81" s="743"/>
      <c r="U81" s="742"/>
      <c r="V81" s="742"/>
      <c r="W81" s="742"/>
      <c r="X81" s="731"/>
      <c r="Z81" s="731"/>
      <c r="AA81" s="731"/>
      <c r="AQ81" s="731"/>
      <c r="AV81" s="731"/>
      <c r="BC81" s="731"/>
      <c r="BF81" s="731"/>
    </row>
    <row r="82" spans="3:58" ht="18.75" customHeight="1">
      <c r="C82" s="644">
        <f t="shared" si="5"/>
        <v>47</v>
      </c>
      <c r="D82" s="27"/>
      <c r="E82" s="17" t="s">
        <v>246</v>
      </c>
      <c r="F82" s="28"/>
      <c r="G82" s="28" t="s">
        <v>206</v>
      </c>
      <c r="H82" s="43"/>
      <c r="I82" s="38">
        <v>425000</v>
      </c>
      <c r="J82" s="29"/>
      <c r="K82" s="39">
        <f t="shared" si="11"/>
        <v>0</v>
      </c>
      <c r="L82" s="18">
        <f t="shared" si="7"/>
        <v>425000</v>
      </c>
      <c r="M82" s="637">
        <f t="shared" si="8"/>
        <v>425000</v>
      </c>
      <c r="N82" s="30" t="s">
        <v>75</v>
      </c>
      <c r="O82" s="21"/>
      <c r="P82" s="16"/>
      <c r="Q82" s="6"/>
      <c r="R82" s="743"/>
      <c r="S82" s="742"/>
      <c r="T82" s="743"/>
      <c r="U82" s="742"/>
      <c r="V82" s="742"/>
      <c r="W82" s="742"/>
      <c r="X82" s="731"/>
      <c r="Z82" s="731"/>
      <c r="AA82" s="731"/>
      <c r="AQ82" s="731"/>
      <c r="AV82" s="731"/>
      <c r="BC82" s="731"/>
      <c r="BF82" s="731"/>
    </row>
    <row r="83" spans="3:58" ht="18.75" customHeight="1">
      <c r="C83" s="644">
        <f t="shared" si="5"/>
        <v>48</v>
      </c>
      <c r="D83" s="27" t="e">
        <f>#REF!+1</f>
        <v>#REF!</v>
      </c>
      <c r="E83" s="28" t="s">
        <v>170</v>
      </c>
      <c r="F83" s="28"/>
      <c r="G83" s="28"/>
      <c r="H83" s="43"/>
      <c r="I83" s="38">
        <v>7000</v>
      </c>
      <c r="J83" s="29">
        <f t="shared" si="6"/>
        <v>0</v>
      </c>
      <c r="K83" s="39">
        <f t="shared" si="9"/>
        <v>0</v>
      </c>
      <c r="L83" s="18">
        <f t="shared" si="7"/>
        <v>7000</v>
      </c>
      <c r="M83" s="637">
        <f>ROUND(L83/10-0.5,0)*10</f>
        <v>7000</v>
      </c>
      <c r="N83" s="30" t="s">
        <v>99</v>
      </c>
      <c r="O83" s="21"/>
      <c r="P83" s="16"/>
      <c r="Q83" s="6"/>
      <c r="R83" s="743"/>
      <c r="S83" s="742"/>
      <c r="T83" s="743"/>
      <c r="U83" s="742"/>
      <c r="V83" s="742"/>
      <c r="W83" s="742"/>
      <c r="X83" s="731"/>
      <c r="Z83" s="731"/>
      <c r="AA83" s="731"/>
      <c r="AQ83" s="731"/>
      <c r="AV83" s="731"/>
      <c r="BC83" s="731"/>
      <c r="BF83" s="731"/>
    </row>
    <row r="84" spans="3:58" ht="18.75" customHeight="1">
      <c r="C84" s="644">
        <f t="shared" si="5"/>
        <v>49</v>
      </c>
      <c r="D84" s="36"/>
      <c r="E84" s="28" t="s">
        <v>171</v>
      </c>
      <c r="F84" s="28"/>
      <c r="G84" s="28"/>
      <c r="H84" s="43"/>
      <c r="I84" s="38">
        <v>7000</v>
      </c>
      <c r="J84" s="29">
        <f t="shared" si="6"/>
        <v>0</v>
      </c>
      <c r="K84" s="39">
        <f>I84*K$20</f>
        <v>0</v>
      </c>
      <c r="L84" s="18">
        <f t="shared" si="7"/>
        <v>7000</v>
      </c>
      <c r="M84" s="637">
        <f t="shared" si="8"/>
        <v>7000</v>
      </c>
      <c r="N84" s="30" t="s">
        <v>82</v>
      </c>
      <c r="O84" s="21"/>
      <c r="P84" s="16"/>
      <c r="Q84" s="6"/>
      <c r="R84" s="743"/>
      <c r="S84" s="742"/>
      <c r="T84" s="743"/>
      <c r="U84" s="742"/>
      <c r="V84" s="742"/>
      <c r="W84" s="742"/>
      <c r="X84" s="731"/>
      <c r="Z84" s="731"/>
      <c r="AA84" s="731"/>
      <c r="AQ84" s="731"/>
      <c r="AV84" s="731"/>
      <c r="BC84" s="731"/>
      <c r="BF84" s="731"/>
    </row>
    <row r="85" spans="3:55" ht="18.75" customHeight="1">
      <c r="C85" s="644">
        <f t="shared" si="5"/>
        <v>50</v>
      </c>
      <c r="D85" s="36"/>
      <c r="E85" s="17" t="s">
        <v>84</v>
      </c>
      <c r="F85" s="28"/>
      <c r="G85" s="28"/>
      <c r="H85" s="43"/>
      <c r="I85" s="38">
        <v>15000</v>
      </c>
      <c r="J85" s="29">
        <f t="shared" si="6"/>
        <v>0</v>
      </c>
      <c r="K85" s="39">
        <f t="shared" si="9"/>
        <v>0</v>
      </c>
      <c r="L85" s="18">
        <f t="shared" si="7"/>
        <v>15000</v>
      </c>
      <c r="M85" s="637">
        <f t="shared" si="8"/>
        <v>15000</v>
      </c>
      <c r="N85" s="30" t="s">
        <v>85</v>
      </c>
      <c r="O85" s="21"/>
      <c r="P85" s="16"/>
      <c r="Q85" s="6"/>
      <c r="R85" s="743"/>
      <c r="S85" s="742"/>
      <c r="T85" s="743"/>
      <c r="U85" s="742"/>
      <c r="V85" s="742"/>
      <c r="W85" s="742"/>
      <c r="X85" s="731"/>
      <c r="Z85" s="731"/>
      <c r="AA85" s="731"/>
      <c r="AQ85" s="731"/>
      <c r="AV85" s="731"/>
      <c r="AZ85" s="731"/>
      <c r="BC85" s="731"/>
    </row>
    <row r="86" spans="3:55" ht="18.75" customHeight="1">
      <c r="C86" s="644">
        <f t="shared" si="5"/>
        <v>51</v>
      </c>
      <c r="D86" s="36"/>
      <c r="E86" s="17" t="s">
        <v>934</v>
      </c>
      <c r="F86" s="28"/>
      <c r="G86" s="28"/>
      <c r="H86" s="43"/>
      <c r="I86" s="633">
        <v>1250000</v>
      </c>
      <c r="J86" s="29">
        <f t="shared" si="6"/>
        <v>0</v>
      </c>
      <c r="K86" s="39">
        <f>I86*K$20</f>
        <v>0</v>
      </c>
      <c r="L86" s="18">
        <f>I86+J86+K86</f>
        <v>1250000</v>
      </c>
      <c r="M86" s="637">
        <f t="shared" si="8"/>
        <v>1250000</v>
      </c>
      <c r="N86" s="30" t="s">
        <v>210</v>
      </c>
      <c r="O86" s="21"/>
      <c r="P86" s="16"/>
      <c r="Q86" s="6"/>
      <c r="R86" s="743"/>
      <c r="S86" s="742"/>
      <c r="T86" s="743"/>
      <c r="U86" s="742"/>
      <c r="V86" s="742"/>
      <c r="W86" s="742"/>
      <c r="X86" s="731"/>
      <c r="Z86" s="731"/>
      <c r="AA86" s="731"/>
      <c r="AQ86" s="731"/>
      <c r="AV86" s="731"/>
      <c r="AZ86" s="731"/>
      <c r="BC86" s="731"/>
    </row>
    <row r="87" spans="3:55" ht="18.75" customHeight="1">
      <c r="C87" s="644">
        <f t="shared" si="5"/>
        <v>52</v>
      </c>
      <c r="D87" s="36"/>
      <c r="E87" s="17" t="s">
        <v>185</v>
      </c>
      <c r="F87" s="28"/>
      <c r="G87" s="28"/>
      <c r="H87" s="43"/>
      <c r="I87" s="38">
        <v>35000</v>
      </c>
      <c r="J87" s="29">
        <f t="shared" si="6"/>
        <v>0</v>
      </c>
      <c r="K87" s="39">
        <f t="shared" si="9"/>
        <v>0</v>
      </c>
      <c r="L87" s="18">
        <f t="shared" si="7"/>
        <v>35000</v>
      </c>
      <c r="M87" s="637">
        <f t="shared" si="8"/>
        <v>35000</v>
      </c>
      <c r="N87" s="30" t="s">
        <v>184</v>
      </c>
      <c r="O87" s="21"/>
      <c r="P87" s="16"/>
      <c r="Q87" s="6"/>
      <c r="R87" s="743"/>
      <c r="S87" s="742"/>
      <c r="T87" s="743"/>
      <c r="U87" s="742"/>
      <c r="V87" s="742"/>
      <c r="W87" s="742"/>
      <c r="X87" s="731"/>
      <c r="Z87" s="731"/>
      <c r="AA87" s="731"/>
      <c r="AQ87" s="731"/>
      <c r="AV87" s="731"/>
      <c r="AZ87" s="731"/>
      <c r="BC87" s="731"/>
    </row>
    <row r="88" spans="3:55" ht="18.75" customHeight="1">
      <c r="C88" s="644">
        <f t="shared" si="5"/>
        <v>53</v>
      </c>
      <c r="D88" s="36"/>
      <c r="E88" s="17" t="s">
        <v>943</v>
      </c>
      <c r="F88" s="28"/>
      <c r="G88" s="28"/>
      <c r="H88" s="43"/>
      <c r="I88" s="38">
        <v>250000</v>
      </c>
      <c r="J88" s="29">
        <f t="shared" si="6"/>
        <v>0</v>
      </c>
      <c r="K88" s="39">
        <f>I88*K$20</f>
        <v>0</v>
      </c>
      <c r="L88" s="18">
        <f>I88+J88+K88</f>
        <v>250000</v>
      </c>
      <c r="M88" s="637">
        <f t="shared" si="8"/>
        <v>250000</v>
      </c>
      <c r="N88" s="30" t="s">
        <v>184</v>
      </c>
      <c r="O88" s="21"/>
      <c r="P88" s="16"/>
      <c r="Q88" s="6"/>
      <c r="R88" s="743"/>
      <c r="S88" s="742"/>
      <c r="T88" s="743"/>
      <c r="U88" s="742"/>
      <c r="V88" s="742"/>
      <c r="W88" s="742"/>
      <c r="X88" s="731"/>
      <c r="Z88" s="731"/>
      <c r="AA88" s="731"/>
      <c r="AQ88" s="731"/>
      <c r="AV88" s="731"/>
      <c r="AZ88" s="731"/>
      <c r="BC88" s="731"/>
    </row>
    <row r="89" spans="3:55" ht="18.75" customHeight="1">
      <c r="C89" s="644">
        <f t="shared" si="5"/>
        <v>54</v>
      </c>
      <c r="D89" s="36"/>
      <c r="E89" s="17" t="s">
        <v>944</v>
      </c>
      <c r="F89" s="28"/>
      <c r="G89" s="28"/>
      <c r="H89" s="43"/>
      <c r="I89" s="38">
        <v>35000</v>
      </c>
      <c r="J89" s="29">
        <f t="shared" si="6"/>
        <v>0</v>
      </c>
      <c r="K89" s="39">
        <f>I89*K$20</f>
        <v>0</v>
      </c>
      <c r="L89" s="18">
        <f>I89+J89+K89</f>
        <v>35000</v>
      </c>
      <c r="M89" s="637">
        <f t="shared" si="8"/>
        <v>35000</v>
      </c>
      <c r="N89" s="30" t="s">
        <v>184</v>
      </c>
      <c r="O89" s="21"/>
      <c r="P89" s="16"/>
      <c r="Q89" s="6"/>
      <c r="R89" s="743"/>
      <c r="S89" s="742"/>
      <c r="T89" s="743"/>
      <c r="U89" s="742"/>
      <c r="V89" s="742"/>
      <c r="W89" s="742"/>
      <c r="X89" s="731"/>
      <c r="Z89" s="731"/>
      <c r="AA89" s="731"/>
      <c r="AQ89" s="731"/>
      <c r="AV89" s="731"/>
      <c r="AZ89" s="731"/>
      <c r="BC89" s="731"/>
    </row>
    <row r="90" spans="3:55" ht="18.75" customHeight="1">
      <c r="C90" s="644">
        <f t="shared" si="5"/>
        <v>55</v>
      </c>
      <c r="D90" s="36"/>
      <c r="E90" s="17" t="s">
        <v>86</v>
      </c>
      <c r="F90" s="28"/>
      <c r="G90" s="28"/>
      <c r="H90" s="43"/>
      <c r="I90" s="38">
        <v>15000</v>
      </c>
      <c r="J90" s="29">
        <f t="shared" si="6"/>
        <v>0</v>
      </c>
      <c r="K90" s="39">
        <f t="shared" si="9"/>
        <v>0</v>
      </c>
      <c r="L90" s="18">
        <f t="shared" si="7"/>
        <v>15000</v>
      </c>
      <c r="M90" s="637">
        <f t="shared" si="8"/>
        <v>15000</v>
      </c>
      <c r="N90" s="30" t="s">
        <v>85</v>
      </c>
      <c r="O90" s="21"/>
      <c r="P90" s="16"/>
      <c r="Q90" s="6"/>
      <c r="R90" s="743"/>
      <c r="S90" s="742"/>
      <c r="T90" s="743"/>
      <c r="U90" s="742"/>
      <c r="V90" s="742"/>
      <c r="W90" s="742"/>
      <c r="X90" s="731"/>
      <c r="Z90" s="731"/>
      <c r="AA90" s="731"/>
      <c r="AB90" s="731"/>
      <c r="AQ90" s="731"/>
      <c r="AV90" s="731"/>
      <c r="AZ90" s="731"/>
      <c r="BC90" s="731"/>
    </row>
    <row r="91" spans="3:55" ht="18.75" customHeight="1">
      <c r="C91" s="644">
        <f t="shared" si="5"/>
        <v>56</v>
      </c>
      <c r="D91" s="36"/>
      <c r="E91" s="17" t="s">
        <v>87</v>
      </c>
      <c r="F91" s="28"/>
      <c r="G91" s="28"/>
      <c r="H91" s="43"/>
      <c r="I91" s="38">
        <v>5000</v>
      </c>
      <c r="J91" s="29">
        <f t="shared" si="6"/>
        <v>0</v>
      </c>
      <c r="K91" s="39">
        <f t="shared" si="9"/>
        <v>0</v>
      </c>
      <c r="L91" s="18">
        <f t="shared" si="7"/>
        <v>5000</v>
      </c>
      <c r="M91" s="637">
        <f t="shared" si="8"/>
        <v>5000</v>
      </c>
      <c r="N91" s="30" t="s">
        <v>85</v>
      </c>
      <c r="O91" s="21"/>
      <c r="P91" s="16"/>
      <c r="Q91" s="6"/>
      <c r="R91" s="743"/>
      <c r="S91" s="742"/>
      <c r="T91" s="743"/>
      <c r="U91" s="742"/>
      <c r="V91" s="742"/>
      <c r="W91" s="742"/>
      <c r="X91" s="731"/>
      <c r="Y91" s="731"/>
      <c r="Z91" s="731"/>
      <c r="AA91" s="731"/>
      <c r="AQ91" s="731"/>
      <c r="AV91" s="731"/>
      <c r="AZ91" s="731"/>
      <c r="BC91" s="731"/>
    </row>
    <row r="92" spans="3:55" ht="18.75" customHeight="1">
      <c r="C92" s="644">
        <f t="shared" si="5"/>
        <v>57</v>
      </c>
      <c r="D92" s="36"/>
      <c r="E92" s="17" t="s">
        <v>183</v>
      </c>
      <c r="F92" s="28"/>
      <c r="G92" s="28"/>
      <c r="H92" s="43"/>
      <c r="I92" s="38">
        <v>160000</v>
      </c>
      <c r="J92" s="29">
        <f t="shared" si="6"/>
        <v>0</v>
      </c>
      <c r="K92" s="39">
        <f t="shared" si="9"/>
        <v>0</v>
      </c>
      <c r="L92" s="18">
        <f t="shared" si="7"/>
        <v>160000</v>
      </c>
      <c r="M92" s="637">
        <f t="shared" si="8"/>
        <v>160000</v>
      </c>
      <c r="N92" s="30" t="s">
        <v>85</v>
      </c>
      <c r="O92" s="21"/>
      <c r="P92" s="16"/>
      <c r="Q92" s="6"/>
      <c r="R92" s="743"/>
      <c r="S92" s="742"/>
      <c r="T92" s="743"/>
      <c r="U92" s="742"/>
      <c r="V92" s="742"/>
      <c r="W92" s="742"/>
      <c r="X92" s="731"/>
      <c r="Y92" s="731"/>
      <c r="Z92" s="731"/>
      <c r="AA92" s="731"/>
      <c r="AQ92" s="731"/>
      <c r="AV92" s="731"/>
      <c r="AZ92" s="731"/>
      <c r="BC92" s="731"/>
    </row>
    <row r="93" spans="3:55" ht="18.75" customHeight="1">
      <c r="C93" s="644">
        <f t="shared" si="5"/>
        <v>58</v>
      </c>
      <c r="D93" s="36"/>
      <c r="E93" s="17" t="s">
        <v>247</v>
      </c>
      <c r="F93" s="28"/>
      <c r="G93" s="28"/>
      <c r="H93" s="43"/>
      <c r="I93" s="38">
        <v>150000</v>
      </c>
      <c r="J93" s="29">
        <f t="shared" si="6"/>
        <v>0</v>
      </c>
      <c r="K93" s="39">
        <f t="shared" si="9"/>
        <v>0</v>
      </c>
      <c r="L93" s="18">
        <f t="shared" si="7"/>
        <v>150000</v>
      </c>
      <c r="M93" s="637">
        <f t="shared" si="8"/>
        <v>150000</v>
      </c>
      <c r="N93" s="30" t="s">
        <v>85</v>
      </c>
      <c r="O93" s="21"/>
      <c r="P93" s="16"/>
      <c r="Q93" s="6"/>
      <c r="R93" s="743"/>
      <c r="S93" s="742"/>
      <c r="T93" s="743"/>
      <c r="U93" s="742"/>
      <c r="V93" s="742"/>
      <c r="W93" s="742"/>
      <c r="X93" s="731"/>
      <c r="Y93" s="731"/>
      <c r="Z93" s="731"/>
      <c r="AA93" s="731"/>
      <c r="AQ93" s="731"/>
      <c r="AV93" s="731"/>
      <c r="AZ93" s="731"/>
      <c r="BC93" s="731"/>
    </row>
    <row r="94" spans="3:23" ht="18.75" customHeight="1">
      <c r="C94" s="644">
        <f t="shared" si="5"/>
        <v>59</v>
      </c>
      <c r="D94" s="36"/>
      <c r="E94" s="17" t="s">
        <v>3</v>
      </c>
      <c r="F94" s="28"/>
      <c r="G94" s="28"/>
      <c r="H94" s="43"/>
      <c r="I94" s="38">
        <v>17500</v>
      </c>
      <c r="J94" s="29">
        <f t="shared" si="6"/>
        <v>0</v>
      </c>
      <c r="K94" s="39">
        <f t="shared" si="9"/>
        <v>0</v>
      </c>
      <c r="L94" s="18">
        <f t="shared" si="7"/>
        <v>17500</v>
      </c>
      <c r="M94" s="637">
        <f>ROUND(L94/10-0.5,0)*10</f>
        <v>17500</v>
      </c>
      <c r="N94" s="30" t="s">
        <v>85</v>
      </c>
      <c r="O94" s="21"/>
      <c r="P94" s="16"/>
      <c r="Q94" s="6"/>
      <c r="R94" s="743"/>
      <c r="S94" s="742"/>
      <c r="T94" s="742"/>
      <c r="U94" s="742"/>
      <c r="V94" s="742"/>
      <c r="W94" s="742"/>
    </row>
    <row r="95" spans="3:55" ht="18.75" customHeight="1">
      <c r="C95" s="644">
        <f t="shared" si="5"/>
        <v>60</v>
      </c>
      <c r="D95" s="36"/>
      <c r="E95" s="17" t="s">
        <v>4</v>
      </c>
      <c r="F95" s="28"/>
      <c r="G95" s="28"/>
      <c r="H95" s="43"/>
      <c r="I95" s="38">
        <v>12500</v>
      </c>
      <c r="J95" s="29">
        <f t="shared" si="6"/>
        <v>0</v>
      </c>
      <c r="K95" s="39">
        <f t="shared" si="9"/>
        <v>0</v>
      </c>
      <c r="L95" s="18">
        <f t="shared" si="7"/>
        <v>12500</v>
      </c>
      <c r="M95" s="637">
        <f t="shared" si="8"/>
        <v>12500</v>
      </c>
      <c r="N95" s="30" t="s">
        <v>85</v>
      </c>
      <c r="O95" s="21"/>
      <c r="P95" s="16"/>
      <c r="Q95" s="6"/>
      <c r="R95" s="743"/>
      <c r="S95" s="742"/>
      <c r="T95" s="742"/>
      <c r="U95" s="742"/>
      <c r="V95" s="742"/>
      <c r="W95" s="742"/>
      <c r="Z95" s="731"/>
      <c r="AA95" s="731"/>
      <c r="AB95" s="731"/>
      <c r="AQ95" s="731"/>
      <c r="AV95" s="731"/>
      <c r="AZ95" s="731"/>
      <c r="BC95" s="731"/>
    </row>
    <row r="96" spans="3:55" ht="18.75" customHeight="1">
      <c r="C96" s="644">
        <f t="shared" si="5"/>
        <v>61</v>
      </c>
      <c r="D96" s="36"/>
      <c r="E96" s="17" t="s">
        <v>940</v>
      </c>
      <c r="F96" s="28"/>
      <c r="G96" s="28"/>
      <c r="H96" s="43"/>
      <c r="I96" s="38">
        <v>160000</v>
      </c>
      <c r="J96" s="29">
        <f t="shared" si="6"/>
        <v>0</v>
      </c>
      <c r="K96" s="39">
        <f>I96*K$20</f>
        <v>0</v>
      </c>
      <c r="L96" s="18">
        <f>I96+J96+K96</f>
        <v>160000</v>
      </c>
      <c r="M96" s="637">
        <f t="shared" si="8"/>
        <v>160000</v>
      </c>
      <c r="N96" s="30" t="s">
        <v>85</v>
      </c>
      <c r="O96" s="21"/>
      <c r="P96" s="16"/>
      <c r="Q96" s="6"/>
      <c r="R96" s="743"/>
      <c r="S96" s="742"/>
      <c r="T96" s="743"/>
      <c r="U96" s="742"/>
      <c r="V96" s="742"/>
      <c r="W96" s="742"/>
      <c r="X96" s="731"/>
      <c r="Y96" s="731"/>
      <c r="Z96" s="731"/>
      <c r="AA96" s="731"/>
      <c r="AQ96" s="731"/>
      <c r="AV96" s="731"/>
      <c r="AZ96" s="731"/>
      <c r="BC96" s="731"/>
    </row>
    <row r="97" spans="3:58" ht="18.75" customHeight="1">
      <c r="C97" s="644">
        <f t="shared" si="5"/>
        <v>62</v>
      </c>
      <c r="D97" s="36"/>
      <c r="E97" s="17" t="s">
        <v>88</v>
      </c>
      <c r="F97" s="28"/>
      <c r="G97" s="28"/>
      <c r="H97" s="43"/>
      <c r="I97" s="38">
        <f>11720</f>
        <v>11720</v>
      </c>
      <c r="J97" s="29">
        <f t="shared" si="6"/>
        <v>0</v>
      </c>
      <c r="K97" s="39">
        <f t="shared" si="9"/>
        <v>0</v>
      </c>
      <c r="L97" s="18">
        <f t="shared" si="7"/>
        <v>11720</v>
      </c>
      <c r="M97" s="637">
        <f t="shared" si="8"/>
        <v>11720</v>
      </c>
      <c r="N97" s="30" t="s">
        <v>75</v>
      </c>
      <c r="O97" s="21"/>
      <c r="P97" s="16"/>
      <c r="Q97" s="6"/>
      <c r="R97" s="743"/>
      <c r="S97" s="742"/>
      <c r="T97" s="743"/>
      <c r="U97" s="742"/>
      <c r="V97" s="742"/>
      <c r="W97" s="742"/>
      <c r="X97" s="731"/>
      <c r="Y97" s="731"/>
      <c r="Z97" s="731"/>
      <c r="AA97" s="731"/>
      <c r="AQ97" s="731"/>
      <c r="AV97" s="731"/>
      <c r="AZ97" s="731"/>
      <c r="BC97" s="731"/>
      <c r="BF97" s="731"/>
    </row>
    <row r="98" spans="3:55" ht="18.75" customHeight="1">
      <c r="C98" s="644">
        <f t="shared" si="5"/>
        <v>63</v>
      </c>
      <c r="D98" s="36"/>
      <c r="E98" s="17" t="s">
        <v>89</v>
      </c>
      <c r="F98" s="28"/>
      <c r="G98" s="28"/>
      <c r="H98" s="43"/>
      <c r="I98" s="38">
        <f>70000/0.9/2.1</f>
        <v>37037.03703703704</v>
      </c>
      <c r="J98" s="29">
        <f t="shared" si="6"/>
        <v>0</v>
      </c>
      <c r="K98" s="39">
        <f t="shared" si="9"/>
        <v>0</v>
      </c>
      <c r="L98" s="18">
        <f t="shared" si="7"/>
        <v>37037.03703703704</v>
      </c>
      <c r="M98" s="637">
        <f t="shared" si="8"/>
        <v>37030</v>
      </c>
      <c r="N98" s="30" t="s">
        <v>75</v>
      </c>
      <c r="O98" s="21">
        <v>65000</v>
      </c>
      <c r="P98" s="16"/>
      <c r="Q98" s="6"/>
      <c r="R98" s="743"/>
      <c r="S98" s="742"/>
      <c r="T98" s="743"/>
      <c r="U98" s="742"/>
      <c r="V98" s="742"/>
      <c r="W98" s="742"/>
      <c r="X98" s="731"/>
      <c r="Y98" s="731"/>
      <c r="Z98" s="731"/>
      <c r="AA98" s="731"/>
      <c r="AQ98" s="731"/>
      <c r="AV98" s="731"/>
      <c r="AZ98" s="731"/>
      <c r="BC98" s="731"/>
    </row>
    <row r="99" spans="3:58" ht="18.75" customHeight="1">
      <c r="C99" s="644">
        <f t="shared" si="5"/>
        <v>64</v>
      </c>
      <c r="D99" s="36"/>
      <c r="E99" s="17" t="s">
        <v>90</v>
      </c>
      <c r="F99" s="28"/>
      <c r="G99" s="28"/>
      <c r="H99" s="43"/>
      <c r="I99" s="38">
        <f>44000/1.2/2.4</f>
        <v>15277.777777777781</v>
      </c>
      <c r="J99" s="29">
        <f t="shared" si="6"/>
        <v>0</v>
      </c>
      <c r="K99" s="39">
        <f t="shared" si="9"/>
        <v>0</v>
      </c>
      <c r="L99" s="18">
        <f t="shared" si="7"/>
        <v>15277.777777777781</v>
      </c>
      <c r="M99" s="637">
        <f t="shared" si="8"/>
        <v>15270</v>
      </c>
      <c r="N99" s="30" t="s">
        <v>75</v>
      </c>
      <c r="O99" s="21"/>
      <c r="P99" s="16"/>
      <c r="Q99" s="6"/>
      <c r="R99" s="743"/>
      <c r="S99" s="742"/>
      <c r="T99" s="743"/>
      <c r="U99" s="742"/>
      <c r="V99" s="742"/>
      <c r="W99" s="742"/>
      <c r="X99" s="731"/>
      <c r="Y99" s="731"/>
      <c r="Z99" s="731"/>
      <c r="AA99" s="731"/>
      <c r="AQ99" s="731"/>
      <c r="AV99" s="731"/>
      <c r="AZ99" s="731"/>
      <c r="BC99" s="731"/>
      <c r="BF99" s="731"/>
    </row>
    <row r="100" spans="3:55" ht="18.75" customHeight="1">
      <c r="C100" s="644">
        <f t="shared" si="5"/>
        <v>65</v>
      </c>
      <c r="D100" s="36"/>
      <c r="E100" s="17" t="s">
        <v>91</v>
      </c>
      <c r="F100" s="28"/>
      <c r="G100" s="28"/>
      <c r="H100" s="43"/>
      <c r="I100" s="38">
        <f>58000/1.2/2.4</f>
        <v>20138.88888888889</v>
      </c>
      <c r="J100" s="29">
        <f t="shared" si="6"/>
        <v>0</v>
      </c>
      <c r="K100" s="39">
        <f t="shared" si="9"/>
        <v>0</v>
      </c>
      <c r="L100" s="18">
        <f aca="true" t="shared" si="12" ref="L100:L158">I100+J100+K100</f>
        <v>20138.88888888889</v>
      </c>
      <c r="M100" s="637">
        <f t="shared" si="8"/>
        <v>20130</v>
      </c>
      <c r="N100" s="30" t="s">
        <v>75</v>
      </c>
      <c r="O100" s="21"/>
      <c r="P100" s="16"/>
      <c r="Q100" s="6"/>
      <c r="R100" s="743"/>
      <c r="S100" s="742"/>
      <c r="T100" s="743"/>
      <c r="U100" s="742"/>
      <c r="V100" s="742"/>
      <c r="W100" s="742"/>
      <c r="X100" s="731"/>
      <c r="Z100" s="731"/>
      <c r="AA100" s="731"/>
      <c r="AQ100" s="731"/>
      <c r="AV100" s="731"/>
      <c r="AZ100" s="731"/>
      <c r="BC100" s="731"/>
    </row>
    <row r="101" spans="3:58" ht="18.75" customHeight="1">
      <c r="C101" s="644">
        <f t="shared" si="5"/>
        <v>66</v>
      </c>
      <c r="D101" s="36"/>
      <c r="E101" s="17" t="s">
        <v>92</v>
      </c>
      <c r="F101" s="28"/>
      <c r="G101" s="28"/>
      <c r="H101" s="43"/>
      <c r="I101" s="29">
        <f>95000</f>
        <v>95000</v>
      </c>
      <c r="J101" s="29">
        <f aca="true" t="shared" si="13" ref="J101:J161">I101*J$20</f>
        <v>0</v>
      </c>
      <c r="K101" s="39">
        <f t="shared" si="9"/>
        <v>0</v>
      </c>
      <c r="L101" s="18">
        <f t="shared" si="12"/>
        <v>95000</v>
      </c>
      <c r="M101" s="638">
        <f aca="true" t="shared" si="14" ref="M101:M161">ROUND(L101/10-0.5,0)*10</f>
        <v>95000</v>
      </c>
      <c r="N101" s="30" t="s">
        <v>105</v>
      </c>
      <c r="O101" s="21">
        <v>60000</v>
      </c>
      <c r="P101" s="16"/>
      <c r="Q101" s="6"/>
      <c r="R101" s="743"/>
      <c r="S101" s="742"/>
      <c r="T101" s="743"/>
      <c r="U101" s="742"/>
      <c r="V101" s="742"/>
      <c r="W101" s="742"/>
      <c r="X101" s="731"/>
      <c r="Z101" s="731"/>
      <c r="AA101" s="731"/>
      <c r="AB101" s="731"/>
      <c r="AQ101" s="731"/>
      <c r="AV101" s="731"/>
      <c r="AZ101" s="731"/>
      <c r="BC101" s="731"/>
      <c r="BF101" s="731"/>
    </row>
    <row r="102" spans="3:58" ht="18.75" customHeight="1">
      <c r="C102" s="644">
        <f t="shared" si="5"/>
        <v>67</v>
      </c>
      <c r="D102" s="36"/>
      <c r="E102" s="17" t="s">
        <v>93</v>
      </c>
      <c r="F102" s="28"/>
      <c r="G102" s="28"/>
      <c r="H102" s="43"/>
      <c r="I102" s="38">
        <f>110000/1.2/2.4</f>
        <v>38194.444444444445</v>
      </c>
      <c r="J102" s="29">
        <f t="shared" si="13"/>
        <v>0</v>
      </c>
      <c r="K102" s="39">
        <f t="shared" si="9"/>
        <v>0</v>
      </c>
      <c r="L102" s="18">
        <f t="shared" si="12"/>
        <v>38194.444444444445</v>
      </c>
      <c r="M102" s="638">
        <f t="shared" si="14"/>
        <v>38190</v>
      </c>
      <c r="N102" s="30" t="s">
        <v>75</v>
      </c>
      <c r="O102" s="21"/>
      <c r="P102" s="16"/>
      <c r="Q102" s="6"/>
      <c r="R102" s="743"/>
      <c r="S102" s="742"/>
      <c r="T102" s="743"/>
      <c r="U102" s="742"/>
      <c r="V102" s="742"/>
      <c r="W102" s="742"/>
      <c r="X102" s="731"/>
      <c r="Z102" s="731"/>
      <c r="AA102" s="731"/>
      <c r="AB102" s="731"/>
      <c r="AD102" s="731"/>
      <c r="AE102" s="731"/>
      <c r="AQ102" s="731"/>
      <c r="AZ102" s="731"/>
      <c r="BC102" s="731"/>
      <c r="BF102" s="731"/>
    </row>
    <row r="103" spans="3:58" ht="18.75" customHeight="1">
      <c r="C103" s="644">
        <f t="shared" si="5"/>
        <v>68</v>
      </c>
      <c r="D103" s="36"/>
      <c r="E103" s="17" t="s">
        <v>94</v>
      </c>
      <c r="F103" s="28"/>
      <c r="G103" s="28"/>
      <c r="H103" s="43"/>
      <c r="I103" s="38">
        <f>155000/1.2/2.4</f>
        <v>53819.444444444445</v>
      </c>
      <c r="J103" s="29">
        <f t="shared" si="13"/>
        <v>0</v>
      </c>
      <c r="K103" s="39">
        <f>I103*K$20</f>
        <v>0</v>
      </c>
      <c r="L103" s="18">
        <f t="shared" si="12"/>
        <v>53819.444444444445</v>
      </c>
      <c r="M103" s="638">
        <f t="shared" si="14"/>
        <v>53810</v>
      </c>
      <c r="N103" s="30" t="s">
        <v>75</v>
      </c>
      <c r="O103" s="21"/>
      <c r="P103" s="16"/>
      <c r="Q103" s="6"/>
      <c r="R103" s="743"/>
      <c r="S103" s="742"/>
      <c r="T103" s="742"/>
      <c r="U103" s="742"/>
      <c r="V103" s="742"/>
      <c r="W103" s="742"/>
      <c r="AC103" s="731"/>
      <c r="AD103" s="731"/>
      <c r="AE103" s="731"/>
      <c r="AQ103" s="731"/>
      <c r="AZ103" s="731"/>
      <c r="BC103" s="731"/>
      <c r="BF103" s="731"/>
    </row>
    <row r="104" spans="3:32" s="6" customFormat="1" ht="18.75" customHeight="1">
      <c r="C104" s="644">
        <f t="shared" si="5"/>
        <v>69</v>
      </c>
      <c r="D104" s="36"/>
      <c r="E104" s="17" t="s">
        <v>211</v>
      </c>
      <c r="F104" s="28"/>
      <c r="G104" s="28"/>
      <c r="H104" s="43"/>
      <c r="I104" s="38">
        <f>4350</f>
        <v>4350</v>
      </c>
      <c r="J104" s="29">
        <f t="shared" si="13"/>
        <v>0</v>
      </c>
      <c r="K104" s="39">
        <f>I104*K$20</f>
        <v>0</v>
      </c>
      <c r="L104" s="18">
        <f t="shared" si="12"/>
        <v>4350</v>
      </c>
      <c r="M104" s="637">
        <f t="shared" si="14"/>
        <v>4350</v>
      </c>
      <c r="N104" s="44" t="s">
        <v>65</v>
      </c>
      <c r="O104" s="22"/>
      <c r="P104" s="16"/>
      <c r="R104" s="743"/>
      <c r="S104" s="742"/>
      <c r="T104" s="742"/>
      <c r="U104" s="742"/>
      <c r="V104" s="742"/>
      <c r="W104" s="742"/>
      <c r="X104" s="730"/>
      <c r="Z104" s="730"/>
      <c r="AA104" s="730"/>
      <c r="AC104" s="730"/>
      <c r="AD104" s="730"/>
      <c r="AE104" s="730"/>
      <c r="AF104" s="730"/>
    </row>
    <row r="105" spans="3:32" s="6" customFormat="1" ht="18.75" customHeight="1">
      <c r="C105" s="644">
        <f aca="true" t="shared" si="15" ref="C105:C167">C104+1</f>
        <v>70</v>
      </c>
      <c r="D105" s="36"/>
      <c r="E105" s="17" t="s">
        <v>212</v>
      </c>
      <c r="F105" s="28"/>
      <c r="G105" s="28"/>
      <c r="H105" s="43"/>
      <c r="I105" s="38">
        <f>13500</f>
        <v>13500</v>
      </c>
      <c r="J105" s="29">
        <f t="shared" si="13"/>
        <v>0</v>
      </c>
      <c r="K105" s="39">
        <f>I105*K$20</f>
        <v>0</v>
      </c>
      <c r="L105" s="18">
        <f t="shared" si="12"/>
        <v>13500</v>
      </c>
      <c r="M105" s="637">
        <f t="shared" si="14"/>
        <v>13500</v>
      </c>
      <c r="N105" s="30" t="s">
        <v>85</v>
      </c>
      <c r="O105" s="21"/>
      <c r="P105" s="16"/>
      <c r="R105" s="743"/>
      <c r="S105" s="742"/>
      <c r="T105" s="742"/>
      <c r="U105" s="742"/>
      <c r="V105" s="742"/>
      <c r="W105" s="742"/>
      <c r="X105" s="730"/>
      <c r="Z105" s="730"/>
      <c r="AA105" s="730"/>
      <c r="AC105" s="730"/>
      <c r="AD105" s="730"/>
      <c r="AE105" s="730"/>
      <c r="AF105" s="730"/>
    </row>
    <row r="106" spans="3:33" ht="18.75" customHeight="1">
      <c r="C106" s="644">
        <f t="shared" si="15"/>
        <v>71</v>
      </c>
      <c r="D106" s="36"/>
      <c r="E106" s="28" t="s">
        <v>250</v>
      </c>
      <c r="F106" s="28"/>
      <c r="G106" s="28"/>
      <c r="H106" s="43"/>
      <c r="I106" s="38">
        <f>40000</f>
        <v>40000</v>
      </c>
      <c r="J106" s="29">
        <f t="shared" si="13"/>
        <v>0</v>
      </c>
      <c r="K106" s="39">
        <f aca="true" t="shared" si="16" ref="K106:K118">I106*K$20</f>
        <v>0</v>
      </c>
      <c r="L106" s="18">
        <f t="shared" si="12"/>
        <v>40000</v>
      </c>
      <c r="M106" s="637">
        <f t="shared" si="14"/>
        <v>40000</v>
      </c>
      <c r="N106" s="30" t="s">
        <v>96</v>
      </c>
      <c r="O106" s="21"/>
      <c r="P106" s="10"/>
      <c r="Q106" s="6"/>
      <c r="R106" s="7"/>
      <c r="T106" s="6"/>
      <c r="U106" s="6"/>
      <c r="V106" s="6"/>
      <c r="W106" s="6"/>
      <c r="Z106" s="731"/>
      <c r="AA106" s="731"/>
      <c r="AB106" s="731"/>
      <c r="AD106" s="731"/>
      <c r="AE106" s="731"/>
      <c r="AG106" s="731"/>
    </row>
    <row r="107" spans="3:33" ht="18.75" customHeight="1">
      <c r="C107" s="644">
        <f t="shared" si="15"/>
        <v>72</v>
      </c>
      <c r="D107" s="36"/>
      <c r="E107" s="28" t="s">
        <v>1075</v>
      </c>
      <c r="F107" s="28"/>
      <c r="G107" s="28"/>
      <c r="H107" s="43" t="s">
        <v>1071</v>
      </c>
      <c r="I107" s="38">
        <f>85000</f>
        <v>85000</v>
      </c>
      <c r="J107" s="29">
        <f t="shared" si="13"/>
        <v>0</v>
      </c>
      <c r="K107" s="39">
        <f t="shared" si="16"/>
        <v>0</v>
      </c>
      <c r="L107" s="18">
        <f t="shared" si="12"/>
        <v>85000</v>
      </c>
      <c r="M107" s="637">
        <f t="shared" si="14"/>
        <v>85000</v>
      </c>
      <c r="N107" s="30" t="s">
        <v>96</v>
      </c>
      <c r="O107" s="21"/>
      <c r="P107" s="10"/>
      <c r="Q107" s="6"/>
      <c r="R107" s="7"/>
      <c r="T107" s="6"/>
      <c r="U107" s="6"/>
      <c r="V107" s="6"/>
      <c r="W107" s="6"/>
      <c r="Z107" s="731"/>
      <c r="AA107" s="731"/>
      <c r="AB107" s="731"/>
      <c r="AD107" s="731"/>
      <c r="AE107" s="731"/>
      <c r="AG107" s="731"/>
    </row>
    <row r="108" spans="3:33" ht="18.75" customHeight="1">
      <c r="C108" s="644">
        <f t="shared" si="15"/>
        <v>73</v>
      </c>
      <c r="D108" s="36"/>
      <c r="E108" s="28" t="s">
        <v>1076</v>
      </c>
      <c r="F108" s="28"/>
      <c r="G108" s="28"/>
      <c r="H108" s="43" t="s">
        <v>1071</v>
      </c>
      <c r="I108" s="38">
        <f>120000</f>
        <v>120000</v>
      </c>
      <c r="J108" s="29">
        <f t="shared" si="13"/>
        <v>0</v>
      </c>
      <c r="K108" s="39">
        <f aca="true" t="shared" si="17" ref="K108:K113">I108*K$20</f>
        <v>0</v>
      </c>
      <c r="L108" s="18">
        <f aca="true" t="shared" si="18" ref="L108:L113">I108+J108+K108</f>
        <v>120000</v>
      </c>
      <c r="M108" s="637">
        <f t="shared" si="14"/>
        <v>120000</v>
      </c>
      <c r="N108" s="30" t="s">
        <v>96</v>
      </c>
      <c r="O108" s="21"/>
      <c r="P108" s="10"/>
      <c r="Q108" s="6"/>
      <c r="R108" s="7"/>
      <c r="T108" s="6"/>
      <c r="U108" s="6"/>
      <c r="V108" s="6"/>
      <c r="W108" s="6"/>
      <c r="Z108" s="731"/>
      <c r="AA108" s="731"/>
      <c r="AB108" s="731"/>
      <c r="AD108" s="731"/>
      <c r="AE108" s="731"/>
      <c r="AG108" s="731"/>
    </row>
    <row r="109" spans="3:33" ht="18.75" customHeight="1">
      <c r="C109" s="644">
        <f t="shared" si="15"/>
        <v>74</v>
      </c>
      <c r="D109" s="36"/>
      <c r="E109" s="28" t="s">
        <v>897</v>
      </c>
      <c r="F109" s="28"/>
      <c r="G109" s="28"/>
      <c r="H109" s="43"/>
      <c r="I109" s="38">
        <f>145000</f>
        <v>145000</v>
      </c>
      <c r="J109" s="29">
        <f t="shared" si="13"/>
        <v>0</v>
      </c>
      <c r="K109" s="39">
        <f t="shared" si="17"/>
        <v>0</v>
      </c>
      <c r="L109" s="18">
        <f t="shared" si="18"/>
        <v>145000</v>
      </c>
      <c r="M109" s="637">
        <f t="shared" si="14"/>
        <v>145000</v>
      </c>
      <c r="N109" s="30" t="s">
        <v>96</v>
      </c>
      <c r="O109" s="21"/>
      <c r="P109" s="10"/>
      <c r="Q109" s="6"/>
      <c r="R109" s="7"/>
      <c r="T109" s="6"/>
      <c r="U109" s="6"/>
      <c r="V109" s="6"/>
      <c r="W109" s="6"/>
      <c r="Z109" s="731"/>
      <c r="AA109" s="731"/>
      <c r="AB109" s="731"/>
      <c r="AD109" s="731"/>
      <c r="AE109" s="731"/>
      <c r="AG109" s="731"/>
    </row>
    <row r="110" spans="3:33" ht="18.75" customHeight="1">
      <c r="C110" s="644">
        <f t="shared" si="15"/>
        <v>75</v>
      </c>
      <c r="D110" s="36"/>
      <c r="E110" s="28" t="s">
        <v>898</v>
      </c>
      <c r="F110" s="28"/>
      <c r="G110" s="28"/>
      <c r="H110" s="43"/>
      <c r="I110" s="38">
        <f>165000</f>
        <v>165000</v>
      </c>
      <c r="J110" s="29">
        <f t="shared" si="13"/>
        <v>0</v>
      </c>
      <c r="K110" s="39">
        <f t="shared" si="17"/>
        <v>0</v>
      </c>
      <c r="L110" s="18">
        <f t="shared" si="18"/>
        <v>165000</v>
      </c>
      <c r="M110" s="637">
        <f t="shared" si="14"/>
        <v>165000</v>
      </c>
      <c r="N110" s="30" t="s">
        <v>96</v>
      </c>
      <c r="O110" s="21"/>
      <c r="P110" s="10"/>
      <c r="Q110" s="6"/>
      <c r="R110" s="7"/>
      <c r="T110" s="6"/>
      <c r="U110" s="6"/>
      <c r="V110" s="6"/>
      <c r="W110" s="6"/>
      <c r="Z110" s="731"/>
      <c r="AA110" s="731"/>
      <c r="AB110" s="731"/>
      <c r="AD110" s="731"/>
      <c r="AE110" s="731"/>
      <c r="AG110" s="731"/>
    </row>
    <row r="111" spans="3:31" ht="18.75" customHeight="1">
      <c r="C111" s="644">
        <f t="shared" si="15"/>
        <v>76</v>
      </c>
      <c r="D111" s="36"/>
      <c r="E111" s="17" t="s">
        <v>1275</v>
      </c>
      <c r="F111" s="28"/>
      <c r="G111" s="28"/>
      <c r="H111" s="43"/>
      <c r="I111" s="38">
        <f>37000</f>
        <v>37000</v>
      </c>
      <c r="J111" s="29">
        <f>I111*J$20</f>
        <v>0</v>
      </c>
      <c r="K111" s="39">
        <f t="shared" si="17"/>
        <v>0</v>
      </c>
      <c r="L111" s="18">
        <f t="shared" si="18"/>
        <v>37000</v>
      </c>
      <c r="M111" s="637">
        <f>ROUND(L111/10-0.5,0)*10</f>
        <v>37000</v>
      </c>
      <c r="N111" s="30" t="s">
        <v>75</v>
      </c>
      <c r="O111" s="21"/>
      <c r="P111" s="10"/>
      <c r="Q111" s="6"/>
      <c r="R111" s="7"/>
      <c r="T111" s="6"/>
      <c r="U111" s="6"/>
      <c r="V111" s="6"/>
      <c r="W111" s="6"/>
      <c r="X111" s="731"/>
      <c r="Z111" s="731"/>
      <c r="AA111" s="731"/>
      <c r="AB111" s="731"/>
      <c r="AD111" s="731"/>
      <c r="AE111" s="731"/>
    </row>
    <row r="112" spans="3:31" ht="18.75" customHeight="1">
      <c r="C112" s="644">
        <f t="shared" si="15"/>
        <v>77</v>
      </c>
      <c r="D112" s="36"/>
      <c r="E112" s="17" t="s">
        <v>901</v>
      </c>
      <c r="F112" s="28"/>
      <c r="G112" s="28"/>
      <c r="H112" s="43"/>
      <c r="I112" s="38">
        <f>45000</f>
        <v>45000</v>
      </c>
      <c r="J112" s="29">
        <f>I112*J$20</f>
        <v>0</v>
      </c>
      <c r="K112" s="39">
        <f t="shared" si="17"/>
        <v>0</v>
      </c>
      <c r="L112" s="18">
        <f t="shared" si="18"/>
        <v>45000</v>
      </c>
      <c r="M112" s="637">
        <f>ROUND(L112/10-0.5,0)*10</f>
        <v>45000</v>
      </c>
      <c r="N112" s="30" t="s">
        <v>75</v>
      </c>
      <c r="O112" s="21"/>
      <c r="P112" s="10"/>
      <c r="Q112" s="6"/>
      <c r="R112" s="7"/>
      <c r="T112" s="6"/>
      <c r="U112" s="6"/>
      <c r="V112" s="6"/>
      <c r="W112" s="6"/>
      <c r="X112" s="731"/>
      <c r="Z112" s="731"/>
      <c r="AA112" s="731"/>
      <c r="AB112" s="731"/>
      <c r="AD112" s="731"/>
      <c r="AE112" s="731"/>
    </row>
    <row r="113" spans="3:31" ht="18.75" customHeight="1">
      <c r="C113" s="644"/>
      <c r="D113" s="36"/>
      <c r="E113" s="17" t="s">
        <v>524</v>
      </c>
      <c r="F113" s="28"/>
      <c r="G113" s="28"/>
      <c r="H113" s="43"/>
      <c r="I113" s="38">
        <v>37000</v>
      </c>
      <c r="J113" s="29">
        <f>I113*J$20</f>
        <v>0</v>
      </c>
      <c r="K113" s="39">
        <f t="shared" si="17"/>
        <v>0</v>
      </c>
      <c r="L113" s="18">
        <f t="shared" si="18"/>
        <v>37000</v>
      </c>
      <c r="M113" s="637">
        <f>ROUND(L113/10-0.5,0)*10</f>
        <v>37000</v>
      </c>
      <c r="N113" s="30" t="s">
        <v>75</v>
      </c>
      <c r="O113" s="21"/>
      <c r="P113" s="10"/>
      <c r="Q113" s="6"/>
      <c r="R113" s="7"/>
      <c r="T113" s="6"/>
      <c r="U113" s="6"/>
      <c r="V113" s="6"/>
      <c r="W113" s="6"/>
      <c r="X113" s="731"/>
      <c r="Z113" s="731"/>
      <c r="AA113" s="731"/>
      <c r="AB113" s="731"/>
      <c r="AD113" s="731"/>
      <c r="AE113" s="731"/>
    </row>
    <row r="114" spans="3:31" ht="18.75" customHeight="1">
      <c r="C114" s="644">
        <f>C112+1</f>
        <v>78</v>
      </c>
      <c r="D114" s="36"/>
      <c r="E114" s="17" t="s">
        <v>95</v>
      </c>
      <c r="F114" s="28"/>
      <c r="G114" s="28"/>
      <c r="H114" s="43"/>
      <c r="I114" s="38">
        <f>45000</f>
        <v>45000</v>
      </c>
      <c r="J114" s="29">
        <f t="shared" si="13"/>
        <v>0</v>
      </c>
      <c r="K114" s="39">
        <f t="shared" si="16"/>
        <v>0</v>
      </c>
      <c r="L114" s="18">
        <f t="shared" si="12"/>
        <v>45000</v>
      </c>
      <c r="M114" s="637">
        <f t="shared" si="14"/>
        <v>45000</v>
      </c>
      <c r="N114" s="30" t="s">
        <v>96</v>
      </c>
      <c r="O114" s="21"/>
      <c r="P114" s="10"/>
      <c r="Q114" s="6"/>
      <c r="R114" s="7"/>
      <c r="T114" s="6"/>
      <c r="U114" s="6"/>
      <c r="V114" s="6"/>
      <c r="W114" s="6"/>
      <c r="Z114" s="731"/>
      <c r="AB114" s="731"/>
      <c r="AD114" s="731"/>
      <c r="AE114" s="731"/>
    </row>
    <row r="115" spans="3:23" ht="18.75" customHeight="1">
      <c r="C115" s="644">
        <f t="shared" si="15"/>
        <v>79</v>
      </c>
      <c r="D115" s="36"/>
      <c r="E115" s="17" t="s">
        <v>97</v>
      </c>
      <c r="F115" s="28"/>
      <c r="G115" s="28"/>
      <c r="H115" s="43"/>
      <c r="I115" s="38">
        <f>35000</f>
        <v>35000</v>
      </c>
      <c r="J115" s="29">
        <f t="shared" si="13"/>
        <v>0</v>
      </c>
      <c r="K115" s="39">
        <f t="shared" si="16"/>
        <v>0</v>
      </c>
      <c r="L115" s="18">
        <f t="shared" si="12"/>
        <v>35000</v>
      </c>
      <c r="M115" s="637">
        <f t="shared" si="14"/>
        <v>35000</v>
      </c>
      <c r="N115" s="30" t="s">
        <v>96</v>
      </c>
      <c r="O115" s="21"/>
      <c r="P115" s="10"/>
      <c r="Q115" s="6"/>
      <c r="R115" s="7"/>
      <c r="T115" s="6"/>
      <c r="U115" s="6"/>
      <c r="V115" s="6"/>
      <c r="W115" s="6"/>
    </row>
    <row r="116" spans="3:31" ht="18.75" customHeight="1">
      <c r="C116" s="644">
        <f t="shared" si="15"/>
        <v>80</v>
      </c>
      <c r="D116" s="36"/>
      <c r="E116" s="17" t="s">
        <v>98</v>
      </c>
      <c r="F116" s="28"/>
      <c r="G116" s="28"/>
      <c r="H116" s="43"/>
      <c r="I116" s="38">
        <f>35000</f>
        <v>35000</v>
      </c>
      <c r="J116" s="29">
        <f t="shared" si="13"/>
        <v>0</v>
      </c>
      <c r="K116" s="39">
        <f t="shared" si="16"/>
        <v>0</v>
      </c>
      <c r="L116" s="18">
        <f t="shared" si="12"/>
        <v>35000</v>
      </c>
      <c r="M116" s="637">
        <f t="shared" si="14"/>
        <v>35000</v>
      </c>
      <c r="N116" s="30" t="s">
        <v>96</v>
      </c>
      <c r="O116" s="21"/>
      <c r="P116" s="10"/>
      <c r="Q116" s="6"/>
      <c r="R116" s="7"/>
      <c r="T116" s="6"/>
      <c r="U116" s="6"/>
      <c r="V116" s="6"/>
      <c r="W116" s="6"/>
      <c r="X116" s="731"/>
      <c r="Z116" s="731"/>
      <c r="AA116" s="731"/>
      <c r="AB116" s="731"/>
      <c r="AD116" s="731"/>
      <c r="AE116" s="731"/>
    </row>
    <row r="117" spans="3:31" ht="18.75" customHeight="1">
      <c r="C117" s="644">
        <f t="shared" si="15"/>
        <v>81</v>
      </c>
      <c r="D117" s="36"/>
      <c r="E117" s="17" t="s">
        <v>521</v>
      </c>
      <c r="F117" s="28"/>
      <c r="G117" s="28"/>
      <c r="H117" s="43"/>
      <c r="I117" s="38">
        <f>40000</f>
        <v>40000</v>
      </c>
      <c r="J117" s="29">
        <f t="shared" si="13"/>
        <v>0</v>
      </c>
      <c r="K117" s="39">
        <f t="shared" si="16"/>
        <v>0</v>
      </c>
      <c r="L117" s="18">
        <f t="shared" si="12"/>
        <v>40000</v>
      </c>
      <c r="M117" s="637">
        <f t="shared" si="14"/>
        <v>40000</v>
      </c>
      <c r="N117" s="30" t="s">
        <v>75</v>
      </c>
      <c r="O117" s="21">
        <v>32500</v>
      </c>
      <c r="P117" s="10"/>
      <c r="Q117" s="6"/>
      <c r="R117" s="7"/>
      <c r="T117" s="6"/>
      <c r="U117" s="6"/>
      <c r="V117" s="6"/>
      <c r="W117" s="6"/>
      <c r="X117" s="731"/>
      <c r="Z117" s="731"/>
      <c r="AA117" s="731"/>
      <c r="AB117" s="731"/>
      <c r="AD117" s="731"/>
      <c r="AE117" s="731"/>
    </row>
    <row r="118" spans="3:31" ht="18.75" customHeight="1">
      <c r="C118" s="644">
        <f t="shared" si="15"/>
        <v>82</v>
      </c>
      <c r="D118" s="36"/>
      <c r="E118" s="17" t="s">
        <v>524</v>
      </c>
      <c r="F118" s="28"/>
      <c r="G118" s="28"/>
      <c r="H118" s="43"/>
      <c r="I118" s="38">
        <f>37500</f>
        <v>37500</v>
      </c>
      <c r="J118" s="29">
        <f t="shared" si="13"/>
        <v>0</v>
      </c>
      <c r="K118" s="39">
        <f t="shared" si="16"/>
        <v>0</v>
      </c>
      <c r="L118" s="18">
        <f t="shared" si="12"/>
        <v>37500</v>
      </c>
      <c r="M118" s="637">
        <f t="shared" si="14"/>
        <v>37500</v>
      </c>
      <c r="N118" s="30" t="s">
        <v>75</v>
      </c>
      <c r="O118" s="21"/>
      <c r="P118" s="10"/>
      <c r="Q118" s="6"/>
      <c r="R118" s="7"/>
      <c r="T118" s="6"/>
      <c r="U118" s="6"/>
      <c r="V118" s="6"/>
      <c r="W118" s="6"/>
      <c r="X118" s="731"/>
      <c r="Z118" s="731"/>
      <c r="AA118" s="731"/>
      <c r="AB118" s="731"/>
      <c r="AD118" s="731"/>
      <c r="AE118" s="731"/>
    </row>
    <row r="119" spans="3:31" ht="18.75" customHeight="1">
      <c r="C119" s="644">
        <f t="shared" si="15"/>
        <v>83</v>
      </c>
      <c r="D119" s="36"/>
      <c r="E119" s="17" t="s">
        <v>873</v>
      </c>
      <c r="F119" s="28"/>
      <c r="G119" s="28"/>
      <c r="H119" s="43"/>
      <c r="I119" s="38">
        <f>16000</f>
        <v>16000</v>
      </c>
      <c r="J119" s="29">
        <f t="shared" si="13"/>
        <v>0</v>
      </c>
      <c r="K119" s="39">
        <f aca="true" t="shared" si="19" ref="K119:K124">I119*K$20</f>
        <v>0</v>
      </c>
      <c r="L119" s="18">
        <f>I119+J119+K119</f>
        <v>16000</v>
      </c>
      <c r="M119" s="637">
        <f t="shared" si="14"/>
        <v>16000</v>
      </c>
      <c r="N119" s="30" t="s">
        <v>75</v>
      </c>
      <c r="O119" s="21"/>
      <c r="P119" s="10"/>
      <c r="Q119" s="6"/>
      <c r="R119" s="7"/>
      <c r="T119" s="6"/>
      <c r="U119" s="6"/>
      <c r="V119" s="6"/>
      <c r="W119" s="6"/>
      <c r="X119" s="731"/>
      <c r="Z119" s="731"/>
      <c r="AA119" s="731"/>
      <c r="AB119" s="731"/>
      <c r="AD119" s="731"/>
      <c r="AE119" s="731"/>
    </row>
    <row r="120" spans="3:31" ht="18.75" customHeight="1">
      <c r="C120" s="644">
        <f t="shared" si="15"/>
        <v>84</v>
      </c>
      <c r="D120" s="36"/>
      <c r="E120" s="17" t="s">
        <v>142</v>
      </c>
      <c r="F120" s="28"/>
      <c r="G120" s="28"/>
      <c r="H120" s="43"/>
      <c r="I120" s="38">
        <f>4500</f>
        <v>4500</v>
      </c>
      <c r="J120" s="29">
        <f>I120*J$20</f>
        <v>0</v>
      </c>
      <c r="K120" s="39">
        <f t="shared" si="19"/>
        <v>0</v>
      </c>
      <c r="L120" s="18">
        <f>I120+J120+K120</f>
        <v>4500</v>
      </c>
      <c r="M120" s="637">
        <f>ROUND(L120/10-0.5,0)*10</f>
        <v>4500</v>
      </c>
      <c r="N120" s="30" t="s">
        <v>239</v>
      </c>
      <c r="O120" s="21">
        <v>2550</v>
      </c>
      <c r="P120" s="10"/>
      <c r="Q120" s="6"/>
      <c r="R120" s="7"/>
      <c r="T120" s="6"/>
      <c r="U120" s="6"/>
      <c r="V120" s="6"/>
      <c r="W120" s="6"/>
      <c r="X120" s="731"/>
      <c r="Z120" s="731"/>
      <c r="AA120" s="731"/>
      <c r="AB120" s="731"/>
      <c r="AD120" s="731"/>
      <c r="AE120" s="731"/>
    </row>
    <row r="121" spans="3:31" ht="18.75" customHeight="1">
      <c r="C121" s="644">
        <f t="shared" si="15"/>
        <v>85</v>
      </c>
      <c r="D121" s="36"/>
      <c r="E121" s="17" t="s">
        <v>100</v>
      </c>
      <c r="F121" s="28"/>
      <c r="G121" s="28"/>
      <c r="H121" s="43"/>
      <c r="I121" s="38">
        <f>10000</f>
        <v>10000</v>
      </c>
      <c r="J121" s="29">
        <f t="shared" si="13"/>
        <v>0</v>
      </c>
      <c r="K121" s="39">
        <f t="shared" si="19"/>
        <v>0</v>
      </c>
      <c r="L121" s="18">
        <f t="shared" si="12"/>
        <v>10000</v>
      </c>
      <c r="M121" s="637">
        <f t="shared" si="14"/>
        <v>10000</v>
      </c>
      <c r="N121" s="30" t="s">
        <v>70</v>
      </c>
      <c r="O121" s="21">
        <v>13000</v>
      </c>
      <c r="P121" s="10"/>
      <c r="Q121" s="6"/>
      <c r="R121" s="7"/>
      <c r="T121" s="6"/>
      <c r="U121" s="6"/>
      <c r="V121" s="730"/>
      <c r="W121" s="6"/>
      <c r="X121" s="731"/>
      <c r="Z121" s="731"/>
      <c r="AA121" s="731"/>
      <c r="AB121" s="731"/>
      <c r="AD121" s="731"/>
      <c r="AE121" s="731"/>
    </row>
    <row r="122" spans="3:31" ht="18.75" customHeight="1">
      <c r="C122" s="644">
        <f t="shared" si="15"/>
        <v>86</v>
      </c>
      <c r="D122" s="36"/>
      <c r="E122" s="17" t="s">
        <v>101</v>
      </c>
      <c r="F122" s="28"/>
      <c r="G122" s="28"/>
      <c r="H122" s="43"/>
      <c r="I122" s="38">
        <f>8500</f>
        <v>8500</v>
      </c>
      <c r="J122" s="29">
        <f t="shared" si="13"/>
        <v>0</v>
      </c>
      <c r="K122" s="39">
        <f t="shared" si="19"/>
        <v>0</v>
      </c>
      <c r="L122" s="18">
        <f t="shared" si="12"/>
        <v>8500</v>
      </c>
      <c r="M122" s="637">
        <f t="shared" si="14"/>
        <v>8500</v>
      </c>
      <c r="N122" s="30" t="s">
        <v>70</v>
      </c>
      <c r="O122" s="21">
        <v>8500</v>
      </c>
      <c r="P122" s="10"/>
      <c r="Q122" s="6"/>
      <c r="R122" s="7"/>
      <c r="T122" s="6"/>
      <c r="U122" s="6"/>
      <c r="V122" s="6"/>
      <c r="W122" s="6"/>
      <c r="X122" s="731"/>
      <c r="Z122" s="731"/>
      <c r="AA122" s="731"/>
      <c r="AB122" s="731"/>
      <c r="AC122" s="731"/>
      <c r="AD122" s="731"/>
      <c r="AE122" s="731"/>
    </row>
    <row r="123" spans="3:31" ht="18.75" customHeight="1">
      <c r="C123" s="644">
        <f t="shared" si="15"/>
        <v>87</v>
      </c>
      <c r="D123" s="36"/>
      <c r="E123" s="17" t="s">
        <v>207</v>
      </c>
      <c r="F123" s="28"/>
      <c r="G123" s="28"/>
      <c r="H123" s="43"/>
      <c r="I123" s="38">
        <f>19000</f>
        <v>19000</v>
      </c>
      <c r="J123" s="29">
        <f t="shared" si="13"/>
        <v>0</v>
      </c>
      <c r="K123" s="39">
        <f t="shared" si="19"/>
        <v>0</v>
      </c>
      <c r="L123" s="18">
        <f t="shared" si="12"/>
        <v>19000</v>
      </c>
      <c r="M123" s="637">
        <f t="shared" si="14"/>
        <v>19000</v>
      </c>
      <c r="N123" s="30" t="s">
        <v>70</v>
      </c>
      <c r="O123" s="21"/>
      <c r="P123" s="10"/>
      <c r="Q123" s="6"/>
      <c r="R123" s="7"/>
      <c r="T123" s="6"/>
      <c r="U123" s="6"/>
      <c r="V123" s="6"/>
      <c r="W123" s="6"/>
      <c r="X123" s="731"/>
      <c r="Z123" s="731"/>
      <c r="AA123" s="731"/>
      <c r="AB123" s="731"/>
      <c r="AC123" s="731"/>
      <c r="AD123" s="731"/>
      <c r="AE123" s="731"/>
    </row>
    <row r="124" spans="3:31" ht="18.75" customHeight="1">
      <c r="C124" s="644">
        <f t="shared" si="15"/>
        <v>88</v>
      </c>
      <c r="D124" s="36"/>
      <c r="E124" s="17" t="s">
        <v>196</v>
      </c>
      <c r="F124" s="28"/>
      <c r="G124" s="28"/>
      <c r="H124" s="43"/>
      <c r="I124" s="38">
        <f>21900</f>
        <v>21900</v>
      </c>
      <c r="J124" s="29">
        <f t="shared" si="13"/>
        <v>0</v>
      </c>
      <c r="K124" s="39">
        <f t="shared" si="19"/>
        <v>0</v>
      </c>
      <c r="L124" s="18">
        <f t="shared" si="12"/>
        <v>21900</v>
      </c>
      <c r="M124" s="637">
        <f t="shared" si="14"/>
        <v>21900</v>
      </c>
      <c r="N124" s="30" t="s">
        <v>70</v>
      </c>
      <c r="O124" s="21"/>
      <c r="P124" s="10"/>
      <c r="Q124" s="6"/>
      <c r="R124" s="7"/>
      <c r="T124" s="6"/>
      <c r="U124" s="6"/>
      <c r="V124" s="6"/>
      <c r="W124" s="6"/>
      <c r="X124" s="731"/>
      <c r="Z124" s="731"/>
      <c r="AA124" s="731"/>
      <c r="AB124" s="731"/>
      <c r="AC124" s="731"/>
      <c r="AD124" s="731"/>
      <c r="AE124" s="731"/>
    </row>
    <row r="125" spans="3:31" ht="18.75" customHeight="1">
      <c r="C125" s="644">
        <f t="shared" si="15"/>
        <v>89</v>
      </c>
      <c r="D125" s="36"/>
      <c r="E125" s="17" t="s">
        <v>198</v>
      </c>
      <c r="F125" s="28"/>
      <c r="G125" s="28"/>
      <c r="H125" s="43"/>
      <c r="I125" s="38">
        <f>50000</f>
        <v>50000</v>
      </c>
      <c r="J125" s="29">
        <f t="shared" si="13"/>
        <v>0</v>
      </c>
      <c r="K125" s="39">
        <f aca="true" t="shared" si="20" ref="K125:K145">I125*K$20</f>
        <v>0</v>
      </c>
      <c r="L125" s="18">
        <f t="shared" si="12"/>
        <v>50000</v>
      </c>
      <c r="M125" s="637">
        <f t="shared" si="14"/>
        <v>50000</v>
      </c>
      <c r="N125" s="30" t="s">
        <v>70</v>
      </c>
      <c r="O125" s="21"/>
      <c r="P125" s="10"/>
      <c r="Q125" s="6"/>
      <c r="R125" s="7"/>
      <c r="T125" s="6"/>
      <c r="U125" s="6"/>
      <c r="V125" s="6"/>
      <c r="W125" s="6"/>
      <c r="X125" s="731"/>
      <c r="Z125" s="731"/>
      <c r="AA125" s="731"/>
      <c r="AB125" s="731"/>
      <c r="AC125" s="731"/>
      <c r="AD125" s="731"/>
      <c r="AE125" s="731"/>
    </row>
    <row r="126" spans="3:31" ht="18.75" customHeight="1">
      <c r="C126" s="644">
        <f t="shared" si="15"/>
        <v>90</v>
      </c>
      <c r="D126" s="36"/>
      <c r="E126" s="17" t="s">
        <v>199</v>
      </c>
      <c r="F126" s="28"/>
      <c r="G126" s="28"/>
      <c r="H126" s="43"/>
      <c r="I126" s="38">
        <f>40300</f>
        <v>40300</v>
      </c>
      <c r="J126" s="29">
        <f t="shared" si="13"/>
        <v>0</v>
      </c>
      <c r="K126" s="39">
        <f t="shared" si="20"/>
        <v>0</v>
      </c>
      <c r="L126" s="18">
        <f t="shared" si="12"/>
        <v>40300</v>
      </c>
      <c r="M126" s="637">
        <f t="shared" si="14"/>
        <v>40300</v>
      </c>
      <c r="N126" s="30" t="s">
        <v>70</v>
      </c>
      <c r="O126" s="21"/>
      <c r="P126" s="10"/>
      <c r="Q126" s="6"/>
      <c r="R126" s="7"/>
      <c r="T126" s="6"/>
      <c r="U126" s="6"/>
      <c r="V126" s="6"/>
      <c r="W126" s="6"/>
      <c r="X126" s="731"/>
      <c r="Z126" s="731"/>
      <c r="AA126" s="731"/>
      <c r="AB126" s="731"/>
      <c r="AC126" s="731"/>
      <c r="AD126" s="731"/>
      <c r="AE126" s="731"/>
    </row>
    <row r="127" spans="3:31" ht="18.75" customHeight="1">
      <c r="C127" s="644">
        <f t="shared" si="15"/>
        <v>91</v>
      </c>
      <c r="D127" s="36"/>
      <c r="E127" s="17" t="s">
        <v>208</v>
      </c>
      <c r="F127" s="28"/>
      <c r="G127" s="28"/>
      <c r="H127" s="43"/>
      <c r="I127" s="38">
        <f>6900</f>
        <v>6900</v>
      </c>
      <c r="J127" s="29">
        <f t="shared" si="13"/>
        <v>0</v>
      </c>
      <c r="K127" s="39">
        <f t="shared" si="20"/>
        <v>0</v>
      </c>
      <c r="L127" s="18">
        <f t="shared" si="12"/>
        <v>6900</v>
      </c>
      <c r="M127" s="637">
        <f t="shared" si="14"/>
        <v>6900</v>
      </c>
      <c r="N127" s="30" t="s">
        <v>70</v>
      </c>
      <c r="O127" s="21"/>
      <c r="P127" s="10"/>
      <c r="Q127" s="6"/>
      <c r="R127" s="7"/>
      <c r="T127" s="6"/>
      <c r="U127" s="6"/>
      <c r="V127" s="6"/>
      <c r="W127" s="6"/>
      <c r="X127" s="731"/>
      <c r="Z127" s="731"/>
      <c r="AA127" s="731"/>
      <c r="AB127" s="731"/>
      <c r="AC127" s="731"/>
      <c r="AD127" s="731"/>
      <c r="AE127" s="731"/>
    </row>
    <row r="128" spans="3:31" ht="18.75" customHeight="1">
      <c r="C128" s="644">
        <f t="shared" si="15"/>
        <v>92</v>
      </c>
      <c r="D128" s="36"/>
      <c r="E128" s="17" t="s">
        <v>102</v>
      </c>
      <c r="F128" s="28"/>
      <c r="G128" s="28"/>
      <c r="H128" s="43"/>
      <c r="I128" s="38">
        <f>12500</f>
        <v>12500</v>
      </c>
      <c r="J128" s="29">
        <f t="shared" si="13"/>
        <v>0</v>
      </c>
      <c r="K128" s="39">
        <f t="shared" si="20"/>
        <v>0</v>
      </c>
      <c r="L128" s="18">
        <f t="shared" si="12"/>
        <v>12500</v>
      </c>
      <c r="M128" s="637">
        <f t="shared" si="14"/>
        <v>12500</v>
      </c>
      <c r="N128" s="30" t="s">
        <v>70</v>
      </c>
      <c r="O128" s="21"/>
      <c r="P128" s="10"/>
      <c r="Q128" s="6"/>
      <c r="R128" s="7"/>
      <c r="T128" s="6"/>
      <c r="U128" s="6"/>
      <c r="V128" s="6"/>
      <c r="W128" s="6"/>
      <c r="AC128" s="731"/>
      <c r="AD128" s="731"/>
      <c r="AE128" s="731"/>
    </row>
    <row r="129" spans="3:31" ht="18.75" customHeight="1">
      <c r="C129" s="644">
        <f t="shared" si="15"/>
        <v>93</v>
      </c>
      <c r="D129" s="36"/>
      <c r="E129" s="17" t="s">
        <v>125</v>
      </c>
      <c r="F129" s="28"/>
      <c r="G129" s="28"/>
      <c r="H129" s="43"/>
      <c r="I129" s="38">
        <f>12500</f>
        <v>12500</v>
      </c>
      <c r="J129" s="29">
        <f t="shared" si="13"/>
        <v>0</v>
      </c>
      <c r="K129" s="39">
        <f t="shared" si="20"/>
        <v>0</v>
      </c>
      <c r="L129" s="18">
        <f t="shared" si="12"/>
        <v>12500</v>
      </c>
      <c r="M129" s="637">
        <f t="shared" si="14"/>
        <v>12500</v>
      </c>
      <c r="N129" s="30" t="s">
        <v>70</v>
      </c>
      <c r="O129" s="21"/>
      <c r="P129" s="10"/>
      <c r="Q129" s="6"/>
      <c r="R129" s="7"/>
      <c r="T129" s="6"/>
      <c r="U129" s="6"/>
      <c r="V129" s="6"/>
      <c r="W129" s="6"/>
      <c r="AC129" s="731"/>
      <c r="AD129" s="731"/>
      <c r="AE129" s="731"/>
    </row>
    <row r="130" spans="3:31" ht="18.75" customHeight="1">
      <c r="C130" s="644">
        <f t="shared" si="15"/>
        <v>94</v>
      </c>
      <c r="D130" s="36"/>
      <c r="E130" s="17" t="s">
        <v>103</v>
      </c>
      <c r="F130" s="28"/>
      <c r="G130" s="28"/>
      <c r="H130" s="43"/>
      <c r="I130" s="38">
        <f>6000</f>
        <v>6000</v>
      </c>
      <c r="J130" s="29">
        <f t="shared" si="13"/>
        <v>0</v>
      </c>
      <c r="K130" s="39">
        <f t="shared" si="20"/>
        <v>0</v>
      </c>
      <c r="L130" s="18">
        <f t="shared" si="12"/>
        <v>6000</v>
      </c>
      <c r="M130" s="637">
        <f t="shared" si="14"/>
        <v>6000</v>
      </c>
      <c r="N130" s="30" t="s">
        <v>70</v>
      </c>
      <c r="O130" s="21">
        <v>7000</v>
      </c>
      <c r="P130" s="10"/>
      <c r="Q130" s="6"/>
      <c r="R130" s="7"/>
      <c r="T130" s="6"/>
      <c r="U130" s="6"/>
      <c r="V130" s="6"/>
      <c r="W130" s="6"/>
      <c r="AC130" s="731"/>
      <c r="AD130" s="731"/>
      <c r="AE130" s="731"/>
    </row>
    <row r="131" spans="3:31" ht="18.75" customHeight="1">
      <c r="C131" s="644">
        <f t="shared" si="15"/>
        <v>95</v>
      </c>
      <c r="D131" s="36"/>
      <c r="E131" s="17" t="s">
        <v>190</v>
      </c>
      <c r="F131" s="28"/>
      <c r="G131" s="28"/>
      <c r="H131" s="43"/>
      <c r="I131" s="38">
        <f>18000</f>
        <v>18000</v>
      </c>
      <c r="J131" s="29">
        <f t="shared" si="13"/>
        <v>0</v>
      </c>
      <c r="K131" s="39">
        <f t="shared" si="20"/>
        <v>0</v>
      </c>
      <c r="L131" s="18">
        <f t="shared" si="12"/>
        <v>18000</v>
      </c>
      <c r="M131" s="637">
        <f t="shared" si="14"/>
        <v>18000</v>
      </c>
      <c r="N131" s="30" t="s">
        <v>70</v>
      </c>
      <c r="O131" s="21">
        <v>20000</v>
      </c>
      <c r="P131" s="10"/>
      <c r="Q131" s="6"/>
      <c r="R131" s="7"/>
      <c r="T131" s="6"/>
      <c r="U131" s="6"/>
      <c r="V131" s="6"/>
      <c r="W131" s="6"/>
      <c r="AC131" s="731"/>
      <c r="AD131" s="731"/>
      <c r="AE131" s="731"/>
    </row>
    <row r="132" spans="3:31" ht="18.75" customHeight="1">
      <c r="C132" s="644">
        <f t="shared" si="15"/>
        <v>96</v>
      </c>
      <c r="D132" s="36"/>
      <c r="E132" s="17" t="s">
        <v>28</v>
      </c>
      <c r="F132" s="28"/>
      <c r="G132" s="28"/>
      <c r="H132" s="43"/>
      <c r="I132" s="38">
        <f>33500</f>
        <v>33500</v>
      </c>
      <c r="J132" s="29">
        <f t="shared" si="13"/>
        <v>0</v>
      </c>
      <c r="K132" s="39">
        <f t="shared" si="20"/>
        <v>0</v>
      </c>
      <c r="L132" s="18">
        <f t="shared" si="12"/>
        <v>33500</v>
      </c>
      <c r="M132" s="637">
        <f t="shared" si="14"/>
        <v>33500</v>
      </c>
      <c r="N132" s="30" t="s">
        <v>70</v>
      </c>
      <c r="O132" s="21"/>
      <c r="P132" s="10"/>
      <c r="Q132" s="6"/>
      <c r="R132" s="7"/>
      <c r="T132" s="6"/>
      <c r="U132" s="6"/>
      <c r="V132" s="6"/>
      <c r="W132" s="6"/>
      <c r="AC132" s="731"/>
      <c r="AD132" s="731"/>
      <c r="AE132" s="731"/>
    </row>
    <row r="133" spans="3:27" ht="18.75" customHeight="1">
      <c r="C133" s="644">
        <f t="shared" si="15"/>
        <v>97</v>
      </c>
      <c r="D133" s="36"/>
      <c r="E133" s="17" t="s">
        <v>191</v>
      </c>
      <c r="F133" s="28"/>
      <c r="G133" s="28"/>
      <c r="H133" s="43"/>
      <c r="I133" s="38">
        <f>50000</f>
        <v>50000</v>
      </c>
      <c r="J133" s="29">
        <f t="shared" si="13"/>
        <v>0</v>
      </c>
      <c r="K133" s="39">
        <f t="shared" si="20"/>
        <v>0</v>
      </c>
      <c r="L133" s="18">
        <f t="shared" si="12"/>
        <v>50000</v>
      </c>
      <c r="M133" s="637">
        <f t="shared" si="14"/>
        <v>50000</v>
      </c>
      <c r="N133" s="30" t="s">
        <v>70</v>
      </c>
      <c r="O133" s="21"/>
      <c r="P133" s="10"/>
      <c r="Q133" s="6"/>
      <c r="R133" s="7"/>
      <c r="T133" s="6"/>
      <c r="U133" s="6"/>
      <c r="V133" s="6"/>
      <c r="W133" s="6"/>
      <c r="X133" s="731"/>
      <c r="Z133" s="731"/>
      <c r="AA133" s="731"/>
    </row>
    <row r="134" spans="3:31" ht="18.75" customHeight="1">
      <c r="C134" s="644">
        <f t="shared" si="15"/>
        <v>98</v>
      </c>
      <c r="D134" s="36"/>
      <c r="E134" s="17" t="s">
        <v>241</v>
      </c>
      <c r="F134" s="28"/>
      <c r="G134" s="17"/>
      <c r="H134" s="635"/>
      <c r="I134" s="38">
        <f>1030000/20*1.05</f>
        <v>54075</v>
      </c>
      <c r="J134" s="29">
        <f t="shared" si="13"/>
        <v>0</v>
      </c>
      <c r="K134" s="39">
        <f t="shared" si="20"/>
        <v>0</v>
      </c>
      <c r="L134" s="18">
        <f>I134+J134+K134</f>
        <v>54075</v>
      </c>
      <c r="M134" s="637">
        <f t="shared" si="14"/>
        <v>54070</v>
      </c>
      <c r="N134" s="30" t="s">
        <v>70</v>
      </c>
      <c r="O134" s="21"/>
      <c r="P134" s="10"/>
      <c r="R134" s="7"/>
      <c r="X134" s="731"/>
      <c r="Y134" s="731"/>
      <c r="Z134" s="731"/>
      <c r="AA134" s="731"/>
      <c r="AD134" s="731"/>
      <c r="AE134" s="731"/>
    </row>
    <row r="135" spans="3:31" ht="18.75" customHeight="1">
      <c r="C135" s="644">
        <f t="shared" si="15"/>
        <v>99</v>
      </c>
      <c r="D135" s="36"/>
      <c r="E135" s="17" t="s">
        <v>904</v>
      </c>
      <c r="F135" s="28"/>
      <c r="G135" s="17"/>
      <c r="H135" s="635"/>
      <c r="I135" s="38">
        <f>677000/20*1.05</f>
        <v>35542.5</v>
      </c>
      <c r="J135" s="29">
        <f t="shared" si="13"/>
        <v>0</v>
      </c>
      <c r="K135" s="39">
        <f>I135*K$20</f>
        <v>0</v>
      </c>
      <c r="L135" s="18">
        <f>I135+J135+K135</f>
        <v>35542.5</v>
      </c>
      <c r="M135" s="637">
        <f t="shared" si="14"/>
        <v>35540</v>
      </c>
      <c r="N135" s="30" t="s">
        <v>70</v>
      </c>
      <c r="O135" s="21"/>
      <c r="P135" s="10"/>
      <c r="R135" s="7"/>
      <c r="X135" s="731"/>
      <c r="Y135" s="731"/>
      <c r="Z135" s="731"/>
      <c r="AA135" s="731"/>
      <c r="AD135" s="731"/>
      <c r="AE135" s="731"/>
    </row>
    <row r="136" spans="3:31" ht="18.75" customHeight="1">
      <c r="C136" s="644">
        <f t="shared" si="15"/>
        <v>100</v>
      </c>
      <c r="D136" s="36"/>
      <c r="E136" s="17" t="s">
        <v>35</v>
      </c>
      <c r="F136" s="28"/>
      <c r="G136" s="17"/>
      <c r="H136" s="635"/>
      <c r="I136" s="38">
        <f>295000/25*1.05</f>
        <v>12390</v>
      </c>
      <c r="J136" s="29">
        <f t="shared" si="13"/>
        <v>0</v>
      </c>
      <c r="K136" s="39">
        <f t="shared" si="20"/>
        <v>0</v>
      </c>
      <c r="L136" s="18">
        <f t="shared" si="12"/>
        <v>12390</v>
      </c>
      <c r="M136" s="637">
        <f t="shared" si="14"/>
        <v>12390</v>
      </c>
      <c r="N136" s="30" t="s">
        <v>70</v>
      </c>
      <c r="O136" s="21"/>
      <c r="P136" s="10"/>
      <c r="R136" s="7"/>
      <c r="X136" s="731"/>
      <c r="Y136" s="731"/>
      <c r="Z136" s="731"/>
      <c r="AA136" s="731"/>
      <c r="AD136" s="731"/>
      <c r="AE136" s="731"/>
    </row>
    <row r="137" spans="3:31" ht="18.75" customHeight="1">
      <c r="C137" s="644">
        <f t="shared" si="15"/>
        <v>101</v>
      </c>
      <c r="D137" s="36"/>
      <c r="E137" s="17" t="s">
        <v>242</v>
      </c>
      <c r="F137" s="28"/>
      <c r="G137" s="17"/>
      <c r="H137" s="635"/>
      <c r="I137" s="38">
        <f>522000/20/1.1*1.05</f>
        <v>24913.63636363636</v>
      </c>
      <c r="J137" s="29">
        <f t="shared" si="13"/>
        <v>0</v>
      </c>
      <c r="K137" s="39">
        <f>I137*K$20</f>
        <v>0</v>
      </c>
      <c r="L137" s="18">
        <f>I137+J137+K137</f>
        <v>24913.63636363636</v>
      </c>
      <c r="M137" s="637">
        <f t="shared" si="14"/>
        <v>24910</v>
      </c>
      <c r="N137" s="30" t="s">
        <v>70</v>
      </c>
      <c r="O137" s="21"/>
      <c r="P137" s="10"/>
      <c r="R137" s="7"/>
      <c r="X137" s="731"/>
      <c r="Y137" s="731"/>
      <c r="Z137" s="731"/>
      <c r="AA137" s="731"/>
      <c r="AD137" s="731"/>
      <c r="AE137" s="731"/>
    </row>
    <row r="138" spans="3:31" ht="18.75" customHeight="1">
      <c r="C138" s="644">
        <f t="shared" si="15"/>
        <v>102</v>
      </c>
      <c r="D138" s="36"/>
      <c r="E138" s="17" t="s">
        <v>104</v>
      </c>
      <c r="F138" s="28"/>
      <c r="G138" s="28"/>
      <c r="H138" s="43"/>
      <c r="I138" s="38">
        <f>2000</f>
        <v>2000</v>
      </c>
      <c r="J138" s="29">
        <f t="shared" si="13"/>
        <v>0</v>
      </c>
      <c r="K138" s="39">
        <f t="shared" si="20"/>
        <v>0</v>
      </c>
      <c r="L138" s="18">
        <f t="shared" si="12"/>
        <v>2000</v>
      </c>
      <c r="M138" s="637">
        <f t="shared" si="14"/>
        <v>2000</v>
      </c>
      <c r="N138" s="30" t="s">
        <v>105</v>
      </c>
      <c r="O138" s="21">
        <v>2000</v>
      </c>
      <c r="P138" s="10"/>
      <c r="R138" s="7"/>
      <c r="X138" s="731"/>
      <c r="Z138" s="731"/>
      <c r="AA138" s="731"/>
      <c r="AD138" s="731"/>
      <c r="AE138" s="731"/>
    </row>
    <row r="139" spans="3:31" ht="18.75" customHeight="1">
      <c r="C139" s="644">
        <f t="shared" si="15"/>
        <v>103</v>
      </c>
      <c r="D139" s="36"/>
      <c r="E139" s="17" t="s">
        <v>200</v>
      </c>
      <c r="F139" s="28"/>
      <c r="G139" s="28"/>
      <c r="H139" s="43"/>
      <c r="I139" s="38">
        <f>O139/I$4</f>
        <v>12000</v>
      </c>
      <c r="J139" s="29">
        <f>I139*J$20</f>
        <v>0</v>
      </c>
      <c r="K139" s="39">
        <f t="shared" si="20"/>
        <v>0</v>
      </c>
      <c r="L139" s="18">
        <f>I139+J139+K139</f>
        <v>12000</v>
      </c>
      <c r="M139" s="637">
        <f>ROUND(L139/10-0.5,0)*10</f>
        <v>12000</v>
      </c>
      <c r="N139" s="30" t="s">
        <v>238</v>
      </c>
      <c r="O139" s="21">
        <v>12000</v>
      </c>
      <c r="P139" s="10"/>
      <c r="R139" s="7"/>
      <c r="X139" s="731"/>
      <c r="Z139" s="731"/>
      <c r="AA139" s="731"/>
      <c r="AD139" s="731"/>
      <c r="AE139" s="731"/>
    </row>
    <row r="140" spans="3:31" ht="18.75" customHeight="1">
      <c r="C140" s="644">
        <f t="shared" si="15"/>
        <v>104</v>
      </c>
      <c r="D140" s="36"/>
      <c r="E140" s="17" t="s">
        <v>201</v>
      </c>
      <c r="F140" s="28"/>
      <c r="G140" s="28"/>
      <c r="H140" s="43"/>
      <c r="I140" s="38">
        <f>4000</f>
        <v>4000</v>
      </c>
      <c r="J140" s="29">
        <f>I140*J$20</f>
        <v>0</v>
      </c>
      <c r="K140" s="39">
        <f t="shared" si="20"/>
        <v>0</v>
      </c>
      <c r="L140" s="18">
        <f>I140+J140+K140</f>
        <v>4000</v>
      </c>
      <c r="M140" s="637">
        <f>ROUND(L140/10-0.5,0)*10</f>
        <v>4000</v>
      </c>
      <c r="N140" s="30" t="s">
        <v>239</v>
      </c>
      <c r="O140" s="21"/>
      <c r="P140" s="10"/>
      <c r="R140" s="7"/>
      <c r="X140" s="731"/>
      <c r="Z140" s="731"/>
      <c r="AA140" s="731"/>
      <c r="AD140" s="731"/>
      <c r="AE140" s="731"/>
    </row>
    <row r="141" spans="3:31" ht="18.75" customHeight="1">
      <c r="C141" s="644">
        <f t="shared" si="15"/>
        <v>105</v>
      </c>
      <c r="D141" s="36"/>
      <c r="E141" s="17" t="s">
        <v>202</v>
      </c>
      <c r="F141" s="28"/>
      <c r="G141" s="28"/>
      <c r="H141" s="43"/>
      <c r="I141" s="38">
        <f>6000</f>
        <v>6000</v>
      </c>
      <c r="J141" s="29">
        <f>I141*J$20</f>
        <v>0</v>
      </c>
      <c r="K141" s="39">
        <f t="shared" si="20"/>
        <v>0</v>
      </c>
      <c r="L141" s="18">
        <f>I141+J141+K141</f>
        <v>6000</v>
      </c>
      <c r="M141" s="637">
        <f>ROUND(L141/10-0.5,0)*10</f>
        <v>6000</v>
      </c>
      <c r="N141" s="30" t="s">
        <v>237</v>
      </c>
      <c r="O141" s="21"/>
      <c r="P141" s="10"/>
      <c r="R141" s="7"/>
      <c r="X141" s="731"/>
      <c r="Z141" s="731"/>
      <c r="AA141" s="731"/>
      <c r="AD141" s="731"/>
      <c r="AE141" s="731"/>
    </row>
    <row r="142" spans="3:31" ht="18.75" customHeight="1">
      <c r="C142" s="644">
        <f t="shared" si="15"/>
        <v>106</v>
      </c>
      <c r="D142" s="36"/>
      <c r="E142" s="17" t="s">
        <v>197</v>
      </c>
      <c r="F142" s="28"/>
      <c r="G142" s="28"/>
      <c r="H142" s="43"/>
      <c r="I142" s="38">
        <f>35000</f>
        <v>35000</v>
      </c>
      <c r="J142" s="29">
        <f>I142*J$20</f>
        <v>0</v>
      </c>
      <c r="K142" s="39">
        <f t="shared" si="20"/>
        <v>0</v>
      </c>
      <c r="L142" s="18">
        <f>I142+J142+K142</f>
        <v>35000</v>
      </c>
      <c r="M142" s="637">
        <f>ROUND(L142/10-0.5,0)*10</f>
        <v>35000</v>
      </c>
      <c r="N142" s="30" t="s">
        <v>237</v>
      </c>
      <c r="O142" s="21"/>
      <c r="P142" s="10"/>
      <c r="R142" s="7"/>
      <c r="X142" s="731"/>
      <c r="Z142" s="731"/>
      <c r="AA142" s="731"/>
      <c r="AD142" s="731"/>
      <c r="AE142" s="731"/>
    </row>
    <row r="143" spans="3:58" ht="18.75" customHeight="1">
      <c r="C143" s="644">
        <f t="shared" si="15"/>
        <v>107</v>
      </c>
      <c r="D143" s="36"/>
      <c r="E143" s="17" t="s">
        <v>106</v>
      </c>
      <c r="F143" s="28"/>
      <c r="G143" s="28"/>
      <c r="H143" s="43"/>
      <c r="I143" s="38">
        <f>16500/0.55</f>
        <v>29999.999999999996</v>
      </c>
      <c r="J143" s="29">
        <f t="shared" si="13"/>
        <v>0</v>
      </c>
      <c r="K143" s="39">
        <f t="shared" si="20"/>
        <v>0</v>
      </c>
      <c r="L143" s="18">
        <f t="shared" si="12"/>
        <v>29999.999999999996</v>
      </c>
      <c r="M143" s="637">
        <f t="shared" si="14"/>
        <v>30000</v>
      </c>
      <c r="N143" s="30" t="s">
        <v>75</v>
      </c>
      <c r="O143" s="21"/>
      <c r="P143" s="10"/>
      <c r="R143" s="7"/>
      <c r="X143" s="731"/>
      <c r="Z143" s="731"/>
      <c r="AA143" s="731"/>
      <c r="AD143" s="731"/>
      <c r="AE143" s="731"/>
      <c r="AF143" s="731"/>
      <c r="AQ143" s="731"/>
      <c r="AZ143" s="731"/>
      <c r="BC143" s="731"/>
      <c r="BF143" s="731"/>
    </row>
    <row r="144" spans="3:58" ht="18.75" customHeight="1">
      <c r="C144" s="644">
        <f t="shared" si="15"/>
        <v>108</v>
      </c>
      <c r="D144" s="36"/>
      <c r="E144" s="17" t="s">
        <v>267</v>
      </c>
      <c r="F144" s="28"/>
      <c r="G144" s="28"/>
      <c r="H144" s="43"/>
      <c r="I144" s="38">
        <f>3900</f>
        <v>3900</v>
      </c>
      <c r="J144" s="29">
        <f t="shared" si="13"/>
        <v>0</v>
      </c>
      <c r="K144" s="39">
        <f t="shared" si="20"/>
        <v>0</v>
      </c>
      <c r="L144" s="18">
        <f t="shared" si="12"/>
        <v>3900</v>
      </c>
      <c r="M144" s="637">
        <f t="shared" si="14"/>
        <v>3900</v>
      </c>
      <c r="N144" s="30" t="s">
        <v>105</v>
      </c>
      <c r="O144" s="21">
        <v>50000</v>
      </c>
      <c r="P144" s="10"/>
      <c r="R144" s="7"/>
      <c r="X144" s="731"/>
      <c r="Z144" s="731"/>
      <c r="AA144" s="731"/>
      <c r="AD144" s="731"/>
      <c r="AE144" s="731"/>
      <c r="AQ144" s="731"/>
      <c r="AV144" s="731"/>
      <c r="AZ144" s="731"/>
      <c r="BC144" s="731"/>
      <c r="BF144" s="731"/>
    </row>
    <row r="145" spans="3:58" ht="18.75" customHeight="1">
      <c r="C145" s="644">
        <f t="shared" si="15"/>
        <v>109</v>
      </c>
      <c r="D145" s="36"/>
      <c r="E145" s="17" t="s">
        <v>107</v>
      </c>
      <c r="F145" s="28"/>
      <c r="G145" s="28"/>
      <c r="H145" s="43"/>
      <c r="I145" s="38">
        <f>50000</f>
        <v>50000</v>
      </c>
      <c r="J145" s="29">
        <f t="shared" si="13"/>
        <v>0</v>
      </c>
      <c r="K145" s="39">
        <f t="shared" si="20"/>
        <v>0</v>
      </c>
      <c r="L145" s="18">
        <f t="shared" si="12"/>
        <v>50000</v>
      </c>
      <c r="M145" s="637">
        <f t="shared" si="14"/>
        <v>50000</v>
      </c>
      <c r="N145" s="30" t="s">
        <v>105</v>
      </c>
      <c r="O145" s="21"/>
      <c r="P145" s="10"/>
      <c r="R145" s="7"/>
      <c r="X145" s="731"/>
      <c r="Z145" s="731"/>
      <c r="AA145" s="731"/>
      <c r="AB145" s="731"/>
      <c r="AD145" s="731"/>
      <c r="AE145" s="731"/>
      <c r="AQ145" s="731"/>
      <c r="AV145" s="731"/>
      <c r="AZ145" s="731"/>
      <c r="BC145" s="731"/>
      <c r="BF145" s="731"/>
    </row>
    <row r="146" spans="3:58" ht="18.75" customHeight="1">
      <c r="C146" s="644">
        <f t="shared" si="15"/>
        <v>110</v>
      </c>
      <c r="D146" s="36"/>
      <c r="E146" s="17" t="s">
        <v>108</v>
      </c>
      <c r="F146" s="28"/>
      <c r="G146" s="28"/>
      <c r="H146" s="43"/>
      <c r="I146" s="38">
        <f>10000</f>
        <v>10000</v>
      </c>
      <c r="J146" s="29">
        <f t="shared" si="13"/>
        <v>0</v>
      </c>
      <c r="K146" s="39">
        <f aca="true" t="shared" si="21" ref="K146:K158">I146*K$20</f>
        <v>0</v>
      </c>
      <c r="L146" s="18">
        <f t="shared" si="12"/>
        <v>10000</v>
      </c>
      <c r="M146" s="637">
        <f t="shared" si="14"/>
        <v>10000</v>
      </c>
      <c r="N146" s="30" t="s">
        <v>105</v>
      </c>
      <c r="O146" s="21"/>
      <c r="P146" s="10"/>
      <c r="R146" s="7"/>
      <c r="AD146" s="731"/>
      <c r="AE146" s="731"/>
      <c r="AF146" s="731"/>
      <c r="AQ146" s="731"/>
      <c r="AV146" s="731"/>
      <c r="AZ146" s="731"/>
      <c r="BC146" s="731"/>
      <c r="BF146" s="731"/>
    </row>
    <row r="147" spans="3:58" ht="18.75" customHeight="1">
      <c r="C147" s="644">
        <f t="shared" si="15"/>
        <v>111</v>
      </c>
      <c r="D147" s="36"/>
      <c r="E147" s="17" t="s">
        <v>12</v>
      </c>
      <c r="F147" s="28"/>
      <c r="G147" s="28"/>
      <c r="H147" s="43"/>
      <c r="I147" s="38">
        <f>17500</f>
        <v>17500</v>
      </c>
      <c r="J147" s="29">
        <f t="shared" si="13"/>
        <v>0</v>
      </c>
      <c r="K147" s="39">
        <f t="shared" si="21"/>
        <v>0</v>
      </c>
      <c r="L147" s="18">
        <f t="shared" si="12"/>
        <v>17500</v>
      </c>
      <c r="M147" s="637">
        <f t="shared" si="14"/>
        <v>17500</v>
      </c>
      <c r="N147" s="30" t="s">
        <v>75</v>
      </c>
      <c r="O147" s="21"/>
      <c r="P147" s="10"/>
      <c r="R147" s="7"/>
      <c r="AD147" s="731"/>
      <c r="AE147" s="731"/>
      <c r="AF147" s="731"/>
      <c r="AQ147" s="731"/>
      <c r="AV147" s="731"/>
      <c r="AZ147" s="731"/>
      <c r="BC147" s="731"/>
      <c r="BF147" s="731"/>
    </row>
    <row r="148" spans="3:58" ht="18.75" customHeight="1">
      <c r="C148" s="644">
        <f t="shared" si="15"/>
        <v>112</v>
      </c>
      <c r="D148" s="36"/>
      <c r="E148" s="17" t="s">
        <v>34</v>
      </c>
      <c r="F148" s="28"/>
      <c r="G148" s="28"/>
      <c r="H148" s="43"/>
      <c r="I148" s="38">
        <f>37000/2.8</f>
        <v>13214.285714285716</v>
      </c>
      <c r="J148" s="29">
        <f t="shared" si="13"/>
        <v>0</v>
      </c>
      <c r="K148" s="39">
        <f t="shared" si="21"/>
        <v>0</v>
      </c>
      <c r="L148" s="18">
        <f t="shared" si="12"/>
        <v>13214.285714285716</v>
      </c>
      <c r="M148" s="637">
        <f t="shared" si="14"/>
        <v>13210</v>
      </c>
      <c r="N148" s="30" t="s">
        <v>75</v>
      </c>
      <c r="O148" s="21"/>
      <c r="P148" s="10"/>
      <c r="R148" s="7"/>
      <c r="AD148" s="731"/>
      <c r="AE148" s="731"/>
      <c r="AF148" s="731"/>
      <c r="AQ148" s="731"/>
      <c r="AV148" s="731"/>
      <c r="AZ148" s="731"/>
      <c r="BC148" s="731"/>
      <c r="BF148" s="731"/>
    </row>
    <row r="149" spans="3:58" ht="18.75" customHeight="1">
      <c r="C149" s="644">
        <f t="shared" si="15"/>
        <v>113</v>
      </c>
      <c r="D149" s="36"/>
      <c r="E149" s="28" t="s">
        <v>14</v>
      </c>
      <c r="F149" s="28"/>
      <c r="G149" s="28"/>
      <c r="H149" s="43"/>
      <c r="I149" s="38">
        <v>30500</v>
      </c>
      <c r="J149" s="29">
        <f>I149*J$20</f>
        <v>0</v>
      </c>
      <c r="K149" s="39">
        <f>I149*K$20</f>
        <v>0</v>
      </c>
      <c r="L149" s="18">
        <f>I149+J149+K149</f>
        <v>30500</v>
      </c>
      <c r="M149" s="637">
        <f>ROUND(L149/10-0.5,0)*10</f>
        <v>30500</v>
      </c>
      <c r="N149" s="30" t="s">
        <v>0</v>
      </c>
      <c r="O149" s="21"/>
      <c r="P149" s="10"/>
      <c r="R149" s="7"/>
      <c r="AD149" s="731"/>
      <c r="AE149" s="731"/>
      <c r="AF149" s="731"/>
      <c r="AQ149" s="731"/>
      <c r="AV149" s="731"/>
      <c r="AZ149" s="731"/>
      <c r="BC149" s="731"/>
      <c r="BF149" s="731"/>
    </row>
    <row r="150" spans="3:58" ht="18.75" customHeight="1">
      <c r="C150" s="644">
        <f t="shared" si="15"/>
        <v>114</v>
      </c>
      <c r="D150" s="36"/>
      <c r="E150" s="17" t="s">
        <v>123</v>
      </c>
      <c r="F150" s="28"/>
      <c r="G150" s="28"/>
      <c r="H150" s="43"/>
      <c r="I150" s="38">
        <f>70000</f>
        <v>70000</v>
      </c>
      <c r="J150" s="29">
        <f t="shared" si="13"/>
        <v>0</v>
      </c>
      <c r="K150" s="39">
        <f t="shared" si="21"/>
        <v>0</v>
      </c>
      <c r="L150" s="18">
        <f t="shared" si="12"/>
        <v>70000</v>
      </c>
      <c r="M150" s="637">
        <f t="shared" si="14"/>
        <v>70000</v>
      </c>
      <c r="N150" s="30" t="s">
        <v>75</v>
      </c>
      <c r="O150" s="21"/>
      <c r="P150" s="10"/>
      <c r="R150" s="7"/>
      <c r="AD150" s="731"/>
      <c r="AE150" s="731"/>
      <c r="AF150" s="731"/>
      <c r="AQ150" s="731"/>
      <c r="AV150" s="731"/>
      <c r="AZ150" s="731"/>
      <c r="BC150" s="731"/>
      <c r="BF150" s="731"/>
    </row>
    <row r="151" spans="3:58" ht="18.75" customHeight="1">
      <c r="C151" s="644">
        <f t="shared" si="15"/>
        <v>115</v>
      </c>
      <c r="D151" s="36"/>
      <c r="E151" s="17" t="s">
        <v>1023</v>
      </c>
      <c r="F151" s="28"/>
      <c r="G151" s="28"/>
      <c r="H151" s="647" t="s">
        <v>1025</v>
      </c>
      <c r="I151" s="38">
        <f>((300000/1.2/15)+333.333)*1.1</f>
        <v>18699.999633333337</v>
      </c>
      <c r="J151" s="29">
        <f t="shared" si="13"/>
        <v>0</v>
      </c>
      <c r="K151" s="39">
        <f>I151*K$20</f>
        <v>0</v>
      </c>
      <c r="L151" s="18">
        <f>I151+J151+K151</f>
        <v>18699.999633333337</v>
      </c>
      <c r="M151" s="637">
        <f t="shared" si="14"/>
        <v>18690</v>
      </c>
      <c r="N151" s="30" t="s">
        <v>75</v>
      </c>
      <c r="O151" s="21"/>
      <c r="P151" s="10"/>
      <c r="R151" s="7"/>
      <c r="AD151" s="731"/>
      <c r="AE151" s="731"/>
      <c r="AF151" s="731"/>
      <c r="AQ151" s="731"/>
      <c r="AV151" s="731"/>
      <c r="AZ151" s="731"/>
      <c r="BC151" s="731"/>
      <c r="BF151" s="731"/>
    </row>
    <row r="152" spans="3:58" ht="18.75" customHeight="1">
      <c r="C152" s="644">
        <f t="shared" si="15"/>
        <v>116</v>
      </c>
      <c r="D152" s="36"/>
      <c r="E152" s="17" t="s">
        <v>1024</v>
      </c>
      <c r="F152" s="28"/>
      <c r="G152" s="28"/>
      <c r="H152" s="647" t="s">
        <v>1026</v>
      </c>
      <c r="I152" s="38">
        <f>((190000/1.2/15)+444.444)*1.1</f>
        <v>12099.999511111113</v>
      </c>
      <c r="J152" s="29">
        <f t="shared" si="13"/>
        <v>0</v>
      </c>
      <c r="K152" s="39">
        <f>I152*K$20</f>
        <v>0</v>
      </c>
      <c r="L152" s="18">
        <f>I152+J152+K152</f>
        <v>12099.999511111113</v>
      </c>
      <c r="M152" s="637">
        <f t="shared" si="14"/>
        <v>12090</v>
      </c>
      <c r="N152" s="30" t="s">
        <v>75</v>
      </c>
      <c r="O152" s="21"/>
      <c r="P152" s="10"/>
      <c r="R152" s="7"/>
      <c r="AD152" s="731"/>
      <c r="AE152" s="731"/>
      <c r="AF152" s="731"/>
      <c r="AQ152" s="731"/>
      <c r="AV152" s="731"/>
      <c r="AZ152" s="731"/>
      <c r="BC152" s="731"/>
      <c r="BF152" s="731"/>
    </row>
    <row r="153" spans="3:58" ht="18.75" customHeight="1">
      <c r="C153" s="644">
        <f t="shared" si="15"/>
        <v>117</v>
      </c>
      <c r="D153" s="36"/>
      <c r="E153" s="17" t="s">
        <v>1028</v>
      </c>
      <c r="F153" s="28"/>
      <c r="G153" s="28"/>
      <c r="H153" s="647"/>
      <c r="I153" s="38">
        <f>((350000/1.22/50)+262.295)*1.1</f>
        <v>6599.999909836066</v>
      </c>
      <c r="J153" s="29">
        <f t="shared" si="13"/>
        <v>0</v>
      </c>
      <c r="K153" s="39">
        <f>I153*K$20</f>
        <v>0</v>
      </c>
      <c r="L153" s="18">
        <f>I153+J153+K153</f>
        <v>6599.999909836066</v>
      </c>
      <c r="M153" s="637">
        <f t="shared" si="14"/>
        <v>6590</v>
      </c>
      <c r="N153" s="30" t="s">
        <v>75</v>
      </c>
      <c r="O153" s="21"/>
      <c r="P153" s="10"/>
      <c r="R153" s="7"/>
      <c r="AD153" s="731"/>
      <c r="AE153" s="731"/>
      <c r="AF153" s="731"/>
      <c r="AQ153" s="731"/>
      <c r="AV153" s="731"/>
      <c r="AZ153" s="731"/>
      <c r="BC153" s="731"/>
      <c r="BF153" s="731"/>
    </row>
    <row r="154" spans="3:58" ht="18.75" customHeight="1">
      <c r="C154" s="644">
        <f t="shared" si="15"/>
        <v>118</v>
      </c>
      <c r="D154" s="36"/>
      <c r="E154" s="17" t="s">
        <v>1029</v>
      </c>
      <c r="F154" s="28"/>
      <c r="G154" s="28"/>
      <c r="H154" s="647"/>
      <c r="I154" s="38">
        <f>((575000/1.22/50)+73.77)*1.1</f>
        <v>10449.999459016395</v>
      </c>
      <c r="J154" s="29">
        <f t="shared" si="13"/>
        <v>0</v>
      </c>
      <c r="K154" s="39">
        <f>I154*K$20</f>
        <v>0</v>
      </c>
      <c r="L154" s="18">
        <f>I154+J154+K154</f>
        <v>10449.999459016395</v>
      </c>
      <c r="M154" s="637">
        <f t="shared" si="14"/>
        <v>10440</v>
      </c>
      <c r="N154" s="30" t="s">
        <v>75</v>
      </c>
      <c r="O154" s="21"/>
      <c r="P154" s="10"/>
      <c r="R154" s="7"/>
      <c r="AD154" s="731"/>
      <c r="AE154" s="731"/>
      <c r="AF154" s="731"/>
      <c r="AQ154" s="731"/>
      <c r="AV154" s="731"/>
      <c r="AZ154" s="731"/>
      <c r="BC154" s="731"/>
      <c r="BF154" s="731"/>
    </row>
    <row r="155" spans="3:58" ht="18.75" customHeight="1">
      <c r="C155" s="644">
        <f t="shared" si="15"/>
        <v>119</v>
      </c>
      <c r="D155" s="36"/>
      <c r="E155" s="17" t="s">
        <v>1030</v>
      </c>
      <c r="F155" s="28"/>
      <c r="G155" s="28"/>
      <c r="H155" s="647"/>
      <c r="I155" s="38">
        <f>((210000/1.8/30)+111.111)*1.1</f>
        <v>4399.999877777777</v>
      </c>
      <c r="J155" s="29">
        <f t="shared" si="13"/>
        <v>0</v>
      </c>
      <c r="K155" s="39">
        <f>I155*K$20</f>
        <v>0</v>
      </c>
      <c r="L155" s="18">
        <f>I155+J155+K155</f>
        <v>4399.999877777777</v>
      </c>
      <c r="M155" s="637">
        <f t="shared" si="14"/>
        <v>4390</v>
      </c>
      <c r="N155" s="30" t="s">
        <v>75</v>
      </c>
      <c r="O155" s="21"/>
      <c r="P155" s="10"/>
      <c r="R155" s="7"/>
      <c r="AD155" s="731"/>
      <c r="AE155" s="731"/>
      <c r="AF155" s="731"/>
      <c r="AQ155" s="731"/>
      <c r="AV155" s="731"/>
      <c r="AZ155" s="731"/>
      <c r="BC155" s="731"/>
      <c r="BF155" s="731"/>
    </row>
    <row r="156" spans="3:58" ht="18.75" customHeight="1">
      <c r="C156" s="644">
        <f t="shared" si="15"/>
        <v>120</v>
      </c>
      <c r="D156" s="36"/>
      <c r="E156" s="28" t="s">
        <v>163</v>
      </c>
      <c r="F156" s="28"/>
      <c r="G156" s="28"/>
      <c r="H156" s="43"/>
      <c r="I156" s="38">
        <f>10000</f>
        <v>10000</v>
      </c>
      <c r="J156" s="29">
        <f t="shared" si="13"/>
        <v>0</v>
      </c>
      <c r="K156" s="39">
        <f t="shared" si="21"/>
        <v>0</v>
      </c>
      <c r="L156" s="18">
        <f t="shared" si="12"/>
        <v>10000</v>
      </c>
      <c r="M156" s="637">
        <f t="shared" si="14"/>
        <v>10000</v>
      </c>
      <c r="N156" s="30" t="s">
        <v>99</v>
      </c>
      <c r="O156" s="21"/>
      <c r="P156" s="10"/>
      <c r="R156" s="7"/>
      <c r="AD156" s="731"/>
      <c r="AE156" s="731"/>
      <c r="AF156" s="731"/>
      <c r="AQ156" s="731"/>
      <c r="AV156" s="731"/>
      <c r="AZ156" s="731"/>
      <c r="BC156" s="731"/>
      <c r="BF156" s="731"/>
    </row>
    <row r="157" spans="3:58" ht="18.75" customHeight="1">
      <c r="C157" s="644">
        <f t="shared" si="15"/>
        <v>121</v>
      </c>
      <c r="D157" s="36"/>
      <c r="E157" s="28" t="s">
        <v>130</v>
      </c>
      <c r="F157" s="28"/>
      <c r="G157" s="28"/>
      <c r="H157" s="43"/>
      <c r="I157" s="38">
        <f>15000</f>
        <v>15000</v>
      </c>
      <c r="J157" s="29">
        <f t="shared" si="13"/>
        <v>0</v>
      </c>
      <c r="K157" s="39">
        <f t="shared" si="21"/>
        <v>0</v>
      </c>
      <c r="L157" s="18">
        <f t="shared" si="12"/>
        <v>15000</v>
      </c>
      <c r="M157" s="637">
        <f t="shared" si="14"/>
        <v>15000</v>
      </c>
      <c r="N157" s="30" t="s">
        <v>99</v>
      </c>
      <c r="O157" s="21"/>
      <c r="P157" s="10"/>
      <c r="R157" s="7"/>
      <c r="AD157" s="731"/>
      <c r="AE157" s="731"/>
      <c r="AF157" s="731"/>
      <c r="AQ157" s="731"/>
      <c r="AV157" s="731"/>
      <c r="AZ157" s="731"/>
      <c r="BC157" s="731"/>
      <c r="BF157" s="731"/>
    </row>
    <row r="158" spans="3:58" ht="18.75" customHeight="1">
      <c r="C158" s="644">
        <f t="shared" si="15"/>
        <v>122</v>
      </c>
      <c r="D158" s="36"/>
      <c r="E158" s="28" t="s">
        <v>1047</v>
      </c>
      <c r="F158" s="28"/>
      <c r="G158" s="28" t="s">
        <v>232</v>
      </c>
      <c r="H158" s="43"/>
      <c r="I158" s="38">
        <f>(34000+12150)</f>
        <v>46150</v>
      </c>
      <c r="J158" s="29">
        <f t="shared" si="13"/>
        <v>0</v>
      </c>
      <c r="K158" s="39">
        <f t="shared" si="21"/>
        <v>0</v>
      </c>
      <c r="L158" s="18">
        <f t="shared" si="12"/>
        <v>46150</v>
      </c>
      <c r="M158" s="637">
        <f t="shared" si="14"/>
        <v>46150</v>
      </c>
      <c r="N158" s="30" t="s">
        <v>96</v>
      </c>
      <c r="O158" s="21"/>
      <c r="P158" s="10"/>
      <c r="R158" s="7"/>
      <c r="AD158" s="731"/>
      <c r="AE158" s="731"/>
      <c r="AF158" s="731"/>
      <c r="AQ158" s="731"/>
      <c r="AV158" s="731"/>
      <c r="AZ158" s="731"/>
      <c r="BC158" s="731"/>
      <c r="BF158" s="731"/>
    </row>
    <row r="159" spans="3:58" ht="18.75" customHeight="1">
      <c r="C159" s="644">
        <f t="shared" si="15"/>
        <v>123</v>
      </c>
      <c r="D159" s="36"/>
      <c r="E159" s="28" t="s">
        <v>1048</v>
      </c>
      <c r="F159" s="28"/>
      <c r="G159" s="28" t="s">
        <v>232</v>
      </c>
      <c r="H159" s="43"/>
      <c r="I159" s="38">
        <f>I158+ANALISA!N432</f>
        <v>71763.2</v>
      </c>
      <c r="J159" s="29">
        <f t="shared" si="13"/>
        <v>0</v>
      </c>
      <c r="K159" s="39">
        <f aca="true" t="shared" si="22" ref="K159:K166">I159*K$20</f>
        <v>0</v>
      </c>
      <c r="L159" s="18">
        <f aca="true" t="shared" si="23" ref="L159:L166">I159+J159+K159</f>
        <v>71763.2</v>
      </c>
      <c r="M159" s="637">
        <f t="shared" si="14"/>
        <v>71760</v>
      </c>
      <c r="N159" s="30" t="s">
        <v>96</v>
      </c>
      <c r="O159" s="21"/>
      <c r="P159" s="10"/>
      <c r="R159" s="7"/>
      <c r="AD159" s="731"/>
      <c r="AE159" s="731"/>
      <c r="AF159" s="731"/>
      <c r="AQ159" s="731"/>
      <c r="AV159" s="731"/>
      <c r="AZ159" s="731"/>
      <c r="BC159" s="731"/>
      <c r="BF159" s="731"/>
    </row>
    <row r="160" spans="3:58" ht="18.75" customHeight="1">
      <c r="C160" s="644">
        <f t="shared" si="15"/>
        <v>124</v>
      </c>
      <c r="D160" s="36"/>
      <c r="E160" s="28" t="s">
        <v>1049</v>
      </c>
      <c r="F160" s="28"/>
      <c r="G160" s="28"/>
      <c r="H160" s="43"/>
      <c r="I160" s="38">
        <f>(5500+(23*90))*1.1</f>
        <v>8327</v>
      </c>
      <c r="J160" s="29">
        <f t="shared" si="13"/>
        <v>0</v>
      </c>
      <c r="K160" s="39">
        <f>I160*K$20</f>
        <v>0</v>
      </c>
      <c r="L160" s="18">
        <f>I160+J160+K160</f>
        <v>8327</v>
      </c>
      <c r="M160" s="637">
        <f t="shared" si="14"/>
        <v>8320</v>
      </c>
      <c r="N160" s="30" t="s">
        <v>99</v>
      </c>
      <c r="O160" s="21"/>
      <c r="P160" s="10"/>
      <c r="R160" s="7"/>
      <c r="AD160" s="731"/>
      <c r="AE160" s="731"/>
      <c r="AF160" s="731"/>
      <c r="AQ160" s="731"/>
      <c r="AV160" s="731"/>
      <c r="AZ160" s="731"/>
      <c r="BC160" s="731"/>
      <c r="BF160" s="731"/>
    </row>
    <row r="161" spans="3:58" ht="18.75" customHeight="1">
      <c r="C161" s="644">
        <f t="shared" si="15"/>
        <v>125</v>
      </c>
      <c r="D161" s="36"/>
      <c r="E161" s="28" t="s">
        <v>1094</v>
      </c>
      <c r="F161" s="28"/>
      <c r="G161" s="28"/>
      <c r="H161" s="43"/>
      <c r="I161" s="38">
        <f>((62.5*90)+48000)</f>
        <v>53625</v>
      </c>
      <c r="J161" s="29">
        <f t="shared" si="13"/>
        <v>0</v>
      </c>
      <c r="K161" s="39">
        <f>I161*K$20</f>
        <v>0</v>
      </c>
      <c r="L161" s="18">
        <f>I161+J161+K161</f>
        <v>53625</v>
      </c>
      <c r="M161" s="637">
        <f t="shared" si="14"/>
        <v>53620</v>
      </c>
      <c r="N161" s="30" t="s">
        <v>96</v>
      </c>
      <c r="O161" s="21"/>
      <c r="P161" s="10"/>
      <c r="R161" s="7"/>
      <c r="AD161" s="731"/>
      <c r="AE161" s="731"/>
      <c r="AF161" s="731"/>
      <c r="AQ161" s="731"/>
      <c r="AV161" s="731"/>
      <c r="AZ161" s="731"/>
      <c r="BC161" s="731"/>
      <c r="BF161" s="731"/>
    </row>
    <row r="162" spans="3:58" ht="18.75" customHeight="1">
      <c r="C162" s="644">
        <f t="shared" si="15"/>
        <v>126</v>
      </c>
      <c r="D162" s="36"/>
      <c r="E162" s="17" t="s">
        <v>258</v>
      </c>
      <c r="F162" s="28"/>
      <c r="G162" s="28"/>
      <c r="H162" s="43"/>
      <c r="I162" s="33">
        <f>10000</f>
        <v>10000</v>
      </c>
      <c r="J162" s="29">
        <f aca="true" t="shared" si="24" ref="J162:J167">I162*J$20</f>
        <v>0</v>
      </c>
      <c r="K162" s="39">
        <f t="shared" si="22"/>
        <v>0</v>
      </c>
      <c r="L162" s="18">
        <f t="shared" si="23"/>
        <v>10000</v>
      </c>
      <c r="M162" s="637">
        <f>ROUND(L162/10-0.5,0)*10</f>
        <v>10000</v>
      </c>
      <c r="N162" s="30" t="s">
        <v>70</v>
      </c>
      <c r="O162" s="21"/>
      <c r="P162" s="10"/>
      <c r="R162" s="7"/>
      <c r="AD162" s="731"/>
      <c r="AE162" s="731"/>
      <c r="AF162" s="731"/>
      <c r="AQ162" s="731"/>
      <c r="AV162" s="731"/>
      <c r="AZ162" s="731"/>
      <c r="BC162" s="731"/>
      <c r="BF162" s="731"/>
    </row>
    <row r="163" spans="3:58" ht="18.75" customHeight="1">
      <c r="C163" s="644">
        <f t="shared" si="15"/>
        <v>127</v>
      </c>
      <c r="D163" s="36"/>
      <c r="E163" s="17" t="s">
        <v>259</v>
      </c>
      <c r="F163" s="28"/>
      <c r="G163" s="28"/>
      <c r="H163" s="43"/>
      <c r="I163" s="33">
        <f>60000</f>
        <v>60000</v>
      </c>
      <c r="J163" s="29">
        <f t="shared" si="24"/>
        <v>0</v>
      </c>
      <c r="K163" s="39">
        <f t="shared" si="22"/>
        <v>0</v>
      </c>
      <c r="L163" s="18">
        <f t="shared" si="23"/>
        <v>60000</v>
      </c>
      <c r="M163" s="637">
        <f>ROUND(L163/10-0.5,0)*10</f>
        <v>60000</v>
      </c>
      <c r="N163" s="30" t="s">
        <v>260</v>
      </c>
      <c r="O163" s="21"/>
      <c r="P163" s="10"/>
      <c r="R163" s="7"/>
      <c r="AD163" s="731"/>
      <c r="AE163" s="731"/>
      <c r="AF163" s="731"/>
      <c r="AQ163" s="731"/>
      <c r="AV163" s="731"/>
      <c r="AZ163" s="731"/>
      <c r="BC163" s="731"/>
      <c r="BF163" s="731"/>
    </row>
    <row r="164" spans="3:58" ht="18.75" customHeight="1">
      <c r="C164" s="644">
        <f t="shared" si="15"/>
        <v>128</v>
      </c>
      <c r="D164" s="36"/>
      <c r="E164" s="17" t="s">
        <v>884</v>
      </c>
      <c r="F164" s="28"/>
      <c r="G164" s="28"/>
      <c r="H164" s="43"/>
      <c r="I164" s="29">
        <f>35000</f>
        <v>35000</v>
      </c>
      <c r="J164" s="29">
        <f t="shared" si="24"/>
        <v>0</v>
      </c>
      <c r="K164" s="39">
        <f t="shared" si="22"/>
        <v>0</v>
      </c>
      <c r="L164" s="18">
        <f t="shared" si="23"/>
        <v>35000</v>
      </c>
      <c r="M164" s="637">
        <f>ROUND(L164/10-0.5,0)*10</f>
        <v>35000</v>
      </c>
      <c r="N164" s="30" t="s">
        <v>885</v>
      </c>
      <c r="O164" s="21"/>
      <c r="P164" s="10"/>
      <c r="R164" s="7"/>
      <c r="AD164" s="731"/>
      <c r="AE164" s="731"/>
      <c r="AF164" s="731"/>
      <c r="AQ164" s="731"/>
      <c r="AV164" s="731"/>
      <c r="AZ164" s="731"/>
      <c r="BC164" s="731"/>
      <c r="BF164" s="731"/>
    </row>
    <row r="165" spans="3:58" ht="18.75" customHeight="1">
      <c r="C165" s="644">
        <f t="shared" si="15"/>
        <v>129</v>
      </c>
      <c r="D165" s="36"/>
      <c r="E165" s="17" t="s">
        <v>912</v>
      </c>
      <c r="F165" s="28"/>
      <c r="G165" s="28"/>
      <c r="H165" s="43"/>
      <c r="I165" s="29">
        <f>110000</f>
        <v>110000</v>
      </c>
      <c r="J165" s="29">
        <f t="shared" si="24"/>
        <v>0</v>
      </c>
      <c r="K165" s="39">
        <f t="shared" si="22"/>
        <v>0</v>
      </c>
      <c r="L165" s="18">
        <f t="shared" si="23"/>
        <v>110000</v>
      </c>
      <c r="M165" s="637">
        <f>ROUND(L165/10-0.5,0)*10</f>
        <v>110000</v>
      </c>
      <c r="N165" s="30" t="s">
        <v>260</v>
      </c>
      <c r="O165" s="21"/>
      <c r="P165" s="10"/>
      <c r="R165" s="7"/>
      <c r="AD165" s="731"/>
      <c r="AE165" s="731"/>
      <c r="AF165" s="731"/>
      <c r="AQ165" s="731"/>
      <c r="AV165" s="731"/>
      <c r="AZ165" s="731"/>
      <c r="BC165" s="731"/>
      <c r="BF165" s="731"/>
    </row>
    <row r="166" spans="3:58" ht="18.75" customHeight="1">
      <c r="C166" s="644">
        <f t="shared" si="15"/>
        <v>130</v>
      </c>
      <c r="D166" s="36"/>
      <c r="E166" s="17" t="s">
        <v>913</v>
      </c>
      <c r="F166" s="28"/>
      <c r="G166" s="28"/>
      <c r="H166" s="43"/>
      <c r="I166" s="29">
        <f>90000</f>
        <v>90000</v>
      </c>
      <c r="J166" s="29">
        <f t="shared" si="24"/>
        <v>0</v>
      </c>
      <c r="K166" s="39">
        <f t="shared" si="22"/>
        <v>0</v>
      </c>
      <c r="L166" s="18">
        <f t="shared" si="23"/>
        <v>90000</v>
      </c>
      <c r="M166" s="637">
        <v>125000</v>
      </c>
      <c r="N166" s="30" t="s">
        <v>260</v>
      </c>
      <c r="O166" s="21"/>
      <c r="P166" s="10"/>
      <c r="R166" s="7"/>
      <c r="AD166" s="731"/>
      <c r="AE166" s="731"/>
      <c r="AF166" s="731"/>
      <c r="AQ166" s="731"/>
      <c r="AV166" s="731"/>
      <c r="AZ166" s="731"/>
      <c r="BC166" s="731"/>
      <c r="BF166" s="731"/>
    </row>
    <row r="167" spans="3:58" ht="18.75" customHeight="1">
      <c r="C167" s="644">
        <f t="shared" si="15"/>
        <v>131</v>
      </c>
      <c r="D167" s="36"/>
      <c r="E167" s="17" t="s">
        <v>969</v>
      </c>
      <c r="F167" s="28"/>
      <c r="G167" s="28"/>
      <c r="H167" s="43"/>
      <c r="I167" s="29">
        <f>90000</f>
        <v>90000</v>
      </c>
      <c r="J167" s="29">
        <f t="shared" si="24"/>
        <v>0</v>
      </c>
      <c r="K167" s="39">
        <f>I167*K$20</f>
        <v>0</v>
      </c>
      <c r="L167" s="18">
        <f>I167+J167+K167</f>
        <v>90000</v>
      </c>
      <c r="M167" s="637">
        <f>ROUND(L167/10-0.5,0)*10</f>
        <v>90000</v>
      </c>
      <c r="N167" s="30" t="s">
        <v>260</v>
      </c>
      <c r="O167" s="21"/>
      <c r="P167" s="10"/>
      <c r="R167" s="7"/>
      <c r="AD167" s="731"/>
      <c r="AE167" s="731"/>
      <c r="AF167" s="731"/>
      <c r="AQ167" s="731"/>
      <c r="AV167" s="731"/>
      <c r="AZ167" s="731"/>
      <c r="BC167" s="731"/>
      <c r="BF167" s="731"/>
    </row>
    <row r="168" spans="3:58" ht="18.75" customHeight="1">
      <c r="C168" s="644"/>
      <c r="D168" s="36"/>
      <c r="E168" s="28"/>
      <c r="F168" s="28"/>
      <c r="G168" s="28"/>
      <c r="H168" s="43"/>
      <c r="I168" s="29"/>
      <c r="J168" s="29"/>
      <c r="K168" s="39"/>
      <c r="L168" s="33"/>
      <c r="M168" s="636"/>
      <c r="N168" s="37"/>
      <c r="O168" s="23"/>
      <c r="P168" s="8"/>
      <c r="X168" s="731"/>
      <c r="Z168" s="731"/>
      <c r="AA168" s="731"/>
      <c r="AB168" s="731"/>
      <c r="AD168" s="731"/>
      <c r="AE168" s="731"/>
      <c r="AF168" s="731"/>
      <c r="BC168" s="731"/>
      <c r="BF168" s="731"/>
    </row>
    <row r="169" spans="3:58" ht="18.75" customHeight="1">
      <c r="C169" s="646"/>
      <c r="D169" s="26"/>
      <c r="E169" s="26"/>
      <c r="F169" s="26"/>
      <c r="G169" s="26"/>
      <c r="H169" s="26"/>
      <c r="I169" s="26"/>
      <c r="J169" s="26"/>
      <c r="K169" s="26"/>
      <c r="L169" s="45"/>
      <c r="M169" s="45"/>
      <c r="N169" s="45"/>
      <c r="O169" s="8"/>
      <c r="P169" s="8"/>
      <c r="X169" s="731"/>
      <c r="Z169" s="731"/>
      <c r="AA169" s="731"/>
      <c r="AB169" s="731"/>
      <c r="AD169" s="731"/>
      <c r="AE169" s="731"/>
      <c r="AF169" s="731"/>
      <c r="BC169" s="731"/>
      <c r="BF169" s="731"/>
    </row>
    <row r="170" spans="3:31" ht="18.75" customHeight="1">
      <c r="C170" s="646"/>
      <c r="D170" s="26"/>
      <c r="E170" s="26"/>
      <c r="F170" s="26"/>
      <c r="G170" s="26"/>
      <c r="H170" s="46"/>
      <c r="I170" s="26"/>
      <c r="J170" s="26"/>
      <c r="K170" s="26"/>
      <c r="L170" s="45"/>
      <c r="M170" s="45"/>
      <c r="N170" s="45"/>
      <c r="O170" s="8"/>
      <c r="P170" s="8"/>
      <c r="X170" s="731"/>
      <c r="Z170" s="731"/>
      <c r="AA170" s="731"/>
      <c r="AD170" s="731"/>
      <c r="AE170" s="731"/>
    </row>
    <row r="171" spans="3:31" ht="18.75" customHeight="1">
      <c r="C171" s="26"/>
      <c r="D171" s="26"/>
      <c r="E171" s="26"/>
      <c r="F171" s="26"/>
      <c r="G171" s="26"/>
      <c r="H171" s="26"/>
      <c r="I171" s="26"/>
      <c r="J171" s="26"/>
      <c r="K171" s="26"/>
      <c r="L171" s="45"/>
      <c r="M171" s="45"/>
      <c r="N171" s="45"/>
      <c r="O171" s="8"/>
      <c r="P171" s="4"/>
      <c r="Z171" s="731"/>
      <c r="AA171" s="731"/>
      <c r="AD171" s="731"/>
      <c r="AE171" s="731"/>
    </row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</sheetData>
  <sheetProtection/>
  <mergeCells count="5">
    <mergeCell ref="C7:N7"/>
    <mergeCell ref="C19:C20"/>
    <mergeCell ref="D19:H20"/>
    <mergeCell ref="M19:N20"/>
    <mergeCell ref="C12:N12"/>
  </mergeCells>
  <printOptions horizontalCentered="1"/>
  <pageMargins left="1" right="0.5" top="0.75" bottom="0.5" header="0.118110236220472" footer="0"/>
  <pageSetup horizontalDpi="300" verticalDpi="300" orientation="portrait" paperSize="9" scale="68" r:id="rId1"/>
  <headerFooter alignWithMargins="0">
    <oddFooter>&amp;R&amp;"Helv,Italic"&amp;8&amp;P  /  &amp;N</oddFooter>
  </headerFooter>
  <rowBreaks count="3" manualBreakCount="3">
    <brk id="66" min="2" max="13" man="1"/>
    <brk id="118" min="2" max="13" man="1"/>
    <brk id="170" min="2" max="13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budi-07</dc:creator>
  <cp:keywords/>
  <dc:description/>
  <cp:lastModifiedBy>userx</cp:lastModifiedBy>
  <cp:lastPrinted>2007-12-26T16:40:39Z</cp:lastPrinted>
  <dcterms:created xsi:type="dcterms:W3CDTF">2002-11-05T03:02:52Z</dcterms:created>
  <dcterms:modified xsi:type="dcterms:W3CDTF">2010-12-15T17:56:55Z</dcterms:modified>
  <cp:category/>
  <cp:version/>
  <cp:contentType/>
  <cp:contentStatus/>
</cp:coreProperties>
</file>